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VikashTalyan\Desktop\"/>
    </mc:Choice>
  </mc:AlternateContent>
  <xr:revisionPtr revIDLastSave="0" documentId="13_ncr:1_{786954DF-6AFE-4FFE-B346-A66626389D52}" xr6:coauthVersionLast="45" xr6:coauthVersionMax="45" xr10:uidLastSave="{00000000-0000-0000-0000-000000000000}"/>
  <bookViews>
    <workbookView xWindow="-108" yWindow="-108" windowWidth="23256" windowHeight="13176" tabRatio="797" activeTab="1" xr2:uid="{00000000-000D-0000-FFFF-FFFF00000000}"/>
  </bookViews>
  <sheets>
    <sheet name="Start" sheetId="1" r:id="rId1"/>
    <sheet name="IP" sheetId="10" r:id="rId2"/>
    <sheet name="Cal" sheetId="14" r:id="rId3"/>
    <sheet name="ER" sheetId="15" r:id="rId4"/>
    <sheet name="BG" sheetId="9" r:id="rId5"/>
  </sheets>
  <definedNames>
    <definedName name="Bby">BG!$D$44:$D$47</definedName>
    <definedName name="CP">BG!$D$17:$D$18</definedName>
    <definedName name="Crediting">BG!$D$16:$D$18</definedName>
    <definedName name="Default">BG!#REF!</definedName>
    <definedName name="fNRB">BG!$D$32:$D$33</definedName>
    <definedName name="Leakage">BG!$D$48:$D$49</definedName>
    <definedName name="npy">BG!$D$40:$D$41</definedName>
    <definedName name="PoA">BG!$D$50:$D$51</definedName>
    <definedName name="_xlnm.Print_Area" localSheetId="0">Start!$A:$U</definedName>
    <definedName name="UFL">BG!$D$20:$D$30</definedName>
    <definedName name="WBT">BG!$D$38</definedName>
    <definedName name="Y_N">BG!$D$53:$D$54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6" i="10" l="1"/>
  <c r="N28" i="14"/>
  <c r="N27" i="14"/>
  <c r="N21" i="14"/>
  <c r="D37" i="10"/>
  <c r="N20" i="14"/>
  <c r="D42" i="10"/>
  <c r="N22" i="14"/>
  <c r="N19" i="14"/>
  <c r="N9" i="14"/>
  <c r="C55" i="10"/>
  <c r="M28" i="14"/>
  <c r="M27" i="14"/>
  <c r="M21" i="14"/>
  <c r="M20" i="14"/>
  <c r="M22" i="14"/>
  <c r="M19" i="14"/>
  <c r="M9" i="14"/>
  <c r="C54" i="10"/>
  <c r="L28" i="14"/>
  <c r="L27" i="14"/>
  <c r="L21" i="14"/>
  <c r="L20" i="14"/>
  <c r="L22" i="14"/>
  <c r="L19" i="14"/>
  <c r="L9" i="14"/>
  <c r="C53" i="10"/>
  <c r="K28" i="14"/>
  <c r="K27" i="14"/>
  <c r="K21" i="14"/>
  <c r="K20" i="14"/>
  <c r="K22" i="14"/>
  <c r="K19" i="14"/>
  <c r="K9" i="14"/>
  <c r="C52" i="10"/>
  <c r="J28" i="14"/>
  <c r="J27" i="14"/>
  <c r="J21" i="14"/>
  <c r="J20" i="14"/>
  <c r="J22" i="14"/>
  <c r="J19" i="14"/>
  <c r="J9" i="14"/>
  <c r="C51" i="10"/>
  <c r="I28" i="14"/>
  <c r="I27" i="14"/>
  <c r="I21" i="14"/>
  <c r="I20" i="14"/>
  <c r="I22" i="14"/>
  <c r="I19" i="14"/>
  <c r="I9" i="14"/>
  <c r="C50" i="10"/>
  <c r="H28" i="14"/>
  <c r="H27" i="14"/>
  <c r="H21" i="14"/>
  <c r="H20" i="14"/>
  <c r="H22" i="14"/>
  <c r="H19" i="14"/>
  <c r="H9" i="14"/>
  <c r="C49" i="10"/>
  <c r="G28" i="14"/>
  <c r="G27" i="14"/>
  <c r="G21" i="14"/>
  <c r="G20" i="14"/>
  <c r="G22" i="14"/>
  <c r="G19" i="14"/>
  <c r="G9" i="14"/>
  <c r="C48" i="10"/>
  <c r="F28" i="14"/>
  <c r="F27" i="14"/>
  <c r="F21" i="14"/>
  <c r="F20" i="14"/>
  <c r="F22" i="14"/>
  <c r="F19" i="14"/>
  <c r="F9" i="14"/>
  <c r="C73" i="9"/>
  <c r="D73" i="9"/>
  <c r="C81" i="9"/>
  <c r="L81" i="9"/>
  <c r="C83" i="10"/>
  <c r="N11" i="14"/>
  <c r="N13" i="14"/>
  <c r="N14" i="14"/>
  <c r="E73" i="9"/>
  <c r="C80" i="9"/>
  <c r="L80" i="9"/>
  <c r="C82" i="10"/>
  <c r="M11" i="14"/>
  <c r="M13" i="14"/>
  <c r="M14" i="14"/>
  <c r="F73" i="9"/>
  <c r="C79" i="9"/>
  <c r="L79" i="9"/>
  <c r="C81" i="10"/>
  <c r="L11" i="14"/>
  <c r="L13" i="14"/>
  <c r="L14" i="14"/>
  <c r="G73" i="9"/>
  <c r="C78" i="9"/>
  <c r="L78" i="9"/>
  <c r="C80" i="10"/>
  <c r="K11" i="14"/>
  <c r="K13" i="14"/>
  <c r="K14" i="14"/>
  <c r="H73" i="9"/>
  <c r="C77" i="9"/>
  <c r="L77" i="9"/>
  <c r="C79" i="10"/>
  <c r="J11" i="14"/>
  <c r="J13" i="14"/>
  <c r="J14" i="14"/>
  <c r="I73" i="9"/>
  <c r="C76" i="9"/>
  <c r="L76" i="9"/>
  <c r="C78" i="10"/>
  <c r="I11" i="14"/>
  <c r="I13" i="14"/>
  <c r="I14" i="14"/>
  <c r="J73" i="9"/>
  <c r="C75" i="9"/>
  <c r="L75" i="9"/>
  <c r="C77" i="10"/>
  <c r="H11" i="14"/>
  <c r="H13" i="14"/>
  <c r="H14" i="14"/>
  <c r="K73" i="9"/>
  <c r="C74" i="9"/>
  <c r="L74" i="9"/>
  <c r="C76" i="10"/>
  <c r="G11" i="14"/>
  <c r="G13" i="14"/>
  <c r="G14" i="14"/>
  <c r="L73" i="9"/>
  <c r="C75" i="10"/>
  <c r="F11" i="14"/>
  <c r="F13" i="14"/>
  <c r="F14" i="14"/>
  <c r="N7" i="14"/>
  <c r="K80" i="9"/>
  <c r="K79" i="9"/>
  <c r="K78" i="9"/>
  <c r="K77" i="9"/>
  <c r="K76" i="9"/>
  <c r="K75" i="9"/>
  <c r="K74" i="9"/>
  <c r="M7" i="14"/>
  <c r="J79" i="9"/>
  <c r="J78" i="9"/>
  <c r="J77" i="9"/>
  <c r="J76" i="9"/>
  <c r="J75" i="9"/>
  <c r="J74" i="9"/>
  <c r="L7" i="14"/>
  <c r="I78" i="9"/>
  <c r="I77" i="9"/>
  <c r="I76" i="9"/>
  <c r="I75" i="9"/>
  <c r="I74" i="9"/>
  <c r="K7" i="14"/>
  <c r="H77" i="9"/>
  <c r="H76" i="9"/>
  <c r="H75" i="9"/>
  <c r="H74" i="9"/>
  <c r="J7" i="14"/>
  <c r="G76" i="9"/>
  <c r="G75" i="9"/>
  <c r="G74" i="9"/>
  <c r="I7" i="14"/>
  <c r="F75" i="9"/>
  <c r="F74" i="9"/>
  <c r="H7" i="14"/>
  <c r="E74" i="9"/>
  <c r="G7" i="14"/>
  <c r="C57" i="10"/>
  <c r="O28" i="14"/>
  <c r="O27" i="14"/>
  <c r="O21" i="14"/>
  <c r="O20" i="14"/>
  <c r="O22" i="14"/>
  <c r="O19" i="14"/>
  <c r="O9" i="14"/>
  <c r="C82" i="9"/>
  <c r="M82" i="9"/>
  <c r="M81" i="9"/>
  <c r="C84" i="10"/>
  <c r="O11" i="14"/>
  <c r="O13" i="14"/>
  <c r="O14" i="14"/>
  <c r="M80" i="9"/>
  <c r="M79" i="9"/>
  <c r="M78" i="9"/>
  <c r="M77" i="9"/>
  <c r="M76" i="9"/>
  <c r="M75" i="9"/>
  <c r="M74" i="9"/>
  <c r="M73" i="9"/>
  <c r="O7" i="14"/>
  <c r="F7" i="14"/>
  <c r="D146" i="10"/>
  <c r="D151" i="10"/>
  <c r="D12" i="10"/>
  <c r="C19" i="10"/>
  <c r="C156" i="10"/>
  <c r="G62" i="14"/>
  <c r="G61" i="14"/>
  <c r="G56" i="14"/>
  <c r="D141" i="10"/>
  <c r="G55" i="14"/>
  <c r="G54" i="14"/>
  <c r="G53" i="14"/>
  <c r="C155" i="10"/>
  <c r="F62" i="14"/>
  <c r="F61" i="14"/>
  <c r="F56" i="14"/>
  <c r="F55" i="14"/>
  <c r="F54" i="14"/>
  <c r="F53" i="14"/>
  <c r="G39" i="14"/>
  <c r="C124" i="10"/>
  <c r="C169" i="10"/>
  <c r="G41" i="14"/>
  <c r="D90" i="9"/>
  <c r="C91" i="9"/>
  <c r="E91" i="9"/>
  <c r="E90" i="9"/>
  <c r="F47" i="14"/>
  <c r="G47" i="14"/>
  <c r="G44" i="14"/>
  <c r="F44" i="14"/>
  <c r="C197" i="10"/>
  <c r="G43" i="14"/>
  <c r="C196" i="10"/>
  <c r="F43" i="14"/>
  <c r="D4" i="9"/>
  <c r="G46" i="14"/>
  <c r="F46" i="14"/>
  <c r="D3" i="9"/>
  <c r="G45" i="14"/>
  <c r="F45" i="14"/>
  <c r="G40" i="14"/>
  <c r="C29" i="15"/>
  <c r="D29" i="15"/>
  <c r="E29" i="15"/>
  <c r="C157" i="10"/>
  <c r="H62" i="14"/>
  <c r="H61" i="14"/>
  <c r="H56" i="14"/>
  <c r="H55" i="14"/>
  <c r="H54" i="14"/>
  <c r="H53" i="14"/>
  <c r="H39" i="14"/>
  <c r="C125" i="10"/>
  <c r="C170" i="10"/>
  <c r="H41" i="14"/>
  <c r="C92" i="9"/>
  <c r="F92" i="9"/>
  <c r="F91" i="9"/>
  <c r="F90" i="9"/>
  <c r="H47" i="14"/>
  <c r="H44" i="14"/>
  <c r="C198" i="10"/>
  <c r="H43" i="14"/>
  <c r="H46" i="14"/>
  <c r="H45" i="14"/>
  <c r="H40" i="14"/>
  <c r="C30" i="15"/>
  <c r="D30" i="15"/>
  <c r="E30" i="15"/>
  <c r="C158" i="10"/>
  <c r="I62" i="14"/>
  <c r="I61" i="14"/>
  <c r="I56" i="14"/>
  <c r="I55" i="14"/>
  <c r="I54" i="14"/>
  <c r="I53" i="14"/>
  <c r="I39" i="14"/>
  <c r="C126" i="10"/>
  <c r="C171" i="10"/>
  <c r="I41" i="14"/>
  <c r="C93" i="9"/>
  <c r="G93" i="9"/>
  <c r="G92" i="9"/>
  <c r="G91" i="9"/>
  <c r="G90" i="9"/>
  <c r="I47" i="14"/>
  <c r="I44" i="14"/>
  <c r="C199" i="10"/>
  <c r="I43" i="14"/>
  <c r="I46" i="14"/>
  <c r="I45" i="14"/>
  <c r="I40" i="14"/>
  <c r="C31" i="15"/>
  <c r="D31" i="15"/>
  <c r="E31" i="15"/>
  <c r="C159" i="10"/>
  <c r="J62" i="14"/>
  <c r="J61" i="14"/>
  <c r="J56" i="14"/>
  <c r="J55" i="14"/>
  <c r="J54" i="14"/>
  <c r="J53" i="14"/>
  <c r="J39" i="14"/>
  <c r="C127" i="10"/>
  <c r="C172" i="10"/>
  <c r="J41" i="14"/>
  <c r="C32" i="15"/>
  <c r="D32" i="15"/>
  <c r="E32" i="15"/>
  <c r="C160" i="10"/>
  <c r="K62" i="14"/>
  <c r="K61" i="14"/>
  <c r="K56" i="14"/>
  <c r="K55" i="14"/>
  <c r="K54" i="14"/>
  <c r="K53" i="14"/>
  <c r="K39" i="14"/>
  <c r="C128" i="10"/>
  <c r="C173" i="10"/>
  <c r="K41" i="14"/>
  <c r="C33" i="15"/>
  <c r="D33" i="15"/>
  <c r="E33" i="15"/>
  <c r="C161" i="10"/>
  <c r="L62" i="14"/>
  <c r="L61" i="14"/>
  <c r="L56" i="14"/>
  <c r="L55" i="14"/>
  <c r="L54" i="14"/>
  <c r="L53" i="14"/>
  <c r="L39" i="14"/>
  <c r="C129" i="10"/>
  <c r="C174" i="10"/>
  <c r="L41" i="14"/>
  <c r="C34" i="15"/>
  <c r="D34" i="15"/>
  <c r="E34" i="15"/>
  <c r="C162" i="10"/>
  <c r="M62" i="14"/>
  <c r="M61" i="14"/>
  <c r="M56" i="14"/>
  <c r="M55" i="14"/>
  <c r="M54" i="14"/>
  <c r="M53" i="14"/>
  <c r="M39" i="14"/>
  <c r="C130" i="10"/>
  <c r="C175" i="10"/>
  <c r="M41" i="14"/>
  <c r="C35" i="15"/>
  <c r="D35" i="15"/>
  <c r="E35" i="15"/>
  <c r="C163" i="10"/>
  <c r="N62" i="14"/>
  <c r="N61" i="14"/>
  <c r="N56" i="14"/>
  <c r="N55" i="14"/>
  <c r="N54" i="14"/>
  <c r="N53" i="14"/>
  <c r="N39" i="14"/>
  <c r="C131" i="10"/>
  <c r="C176" i="10"/>
  <c r="N41" i="14"/>
  <c r="C36" i="15"/>
  <c r="D36" i="15"/>
  <c r="E36" i="15"/>
  <c r="C164" i="10"/>
  <c r="O62" i="14"/>
  <c r="O61" i="14"/>
  <c r="O56" i="14"/>
  <c r="O55" i="14"/>
  <c r="O54" i="14"/>
  <c r="O53" i="14"/>
  <c r="O39" i="14"/>
  <c r="C132" i="10"/>
  <c r="C177" i="10"/>
  <c r="O41" i="14"/>
  <c r="C37" i="15"/>
  <c r="D37" i="15"/>
  <c r="E37" i="15"/>
  <c r="F39" i="14"/>
  <c r="C123" i="10"/>
  <c r="C168" i="10"/>
  <c r="F41" i="14"/>
  <c r="F40" i="14"/>
  <c r="C28" i="15"/>
  <c r="D28" i="15"/>
  <c r="E28" i="15"/>
  <c r="C94" i="9"/>
  <c r="H94" i="9"/>
  <c r="H93" i="9"/>
  <c r="H92" i="9"/>
  <c r="H91" i="9"/>
  <c r="H90" i="9"/>
  <c r="J47" i="14"/>
  <c r="J44" i="14"/>
  <c r="C200" i="10"/>
  <c r="J43" i="14"/>
  <c r="J46" i="14"/>
  <c r="J45" i="14"/>
  <c r="J40" i="14"/>
  <c r="M93" i="9"/>
  <c r="M94" i="9"/>
  <c r="C95" i="9"/>
  <c r="M95" i="9"/>
  <c r="C96" i="9"/>
  <c r="M96" i="9"/>
  <c r="C97" i="9"/>
  <c r="M97" i="9"/>
  <c r="C98" i="9"/>
  <c r="M98" i="9"/>
  <c r="C99" i="9"/>
  <c r="M99" i="9"/>
  <c r="K90" i="9"/>
  <c r="M92" i="9"/>
  <c r="L90" i="9"/>
  <c r="M91" i="9"/>
  <c r="M90" i="9"/>
  <c r="K47" i="14"/>
  <c r="L47" i="14"/>
  <c r="N47" i="14"/>
  <c r="O47" i="14"/>
  <c r="M47" i="14"/>
  <c r="O44" i="14"/>
  <c r="N44" i="14"/>
  <c r="M44" i="14"/>
  <c r="L44" i="14"/>
  <c r="K44" i="14"/>
  <c r="C205" i="10"/>
  <c r="O43" i="14"/>
  <c r="C204" i="10"/>
  <c r="N43" i="14"/>
  <c r="C203" i="10"/>
  <c r="M43" i="14"/>
  <c r="C202" i="10"/>
  <c r="L43" i="14"/>
  <c r="C201" i="10"/>
  <c r="K43" i="14"/>
  <c r="O46" i="14"/>
  <c r="N46" i="14"/>
  <c r="M46" i="14"/>
  <c r="L46" i="14"/>
  <c r="K46" i="14"/>
  <c r="O45" i="14"/>
  <c r="N45" i="14"/>
  <c r="M45" i="14"/>
  <c r="L45" i="14"/>
  <c r="K45" i="14"/>
  <c r="O40" i="14"/>
  <c r="L93" i="9"/>
  <c r="L94" i="9"/>
  <c r="L95" i="9"/>
  <c r="L96" i="9"/>
  <c r="L97" i="9"/>
  <c r="L98" i="9"/>
  <c r="J90" i="9"/>
  <c r="L92" i="9"/>
  <c r="L91" i="9"/>
  <c r="N40" i="14"/>
  <c r="K93" i="9"/>
  <c r="K94" i="9"/>
  <c r="J95" i="9"/>
  <c r="K96" i="9"/>
  <c r="K97" i="9"/>
  <c r="I90" i="9"/>
  <c r="K92" i="9"/>
  <c r="K91" i="9"/>
  <c r="M40" i="14"/>
  <c r="J93" i="9"/>
  <c r="J94" i="9"/>
  <c r="J96" i="9"/>
  <c r="J92" i="9"/>
  <c r="J91" i="9"/>
  <c r="L40" i="14"/>
  <c r="I93" i="9"/>
  <c r="I94" i="9"/>
  <c r="I95" i="9"/>
  <c r="I92" i="9"/>
  <c r="I91" i="9"/>
  <c r="K40" i="14"/>
  <c r="K95" i="9"/>
  <c r="D100" i="9"/>
  <c r="M100" i="9"/>
  <c r="L100" i="9"/>
  <c r="K100" i="9"/>
  <c r="J100" i="9"/>
  <c r="I100" i="9"/>
  <c r="H100" i="9"/>
  <c r="G100" i="9"/>
  <c r="F100" i="9"/>
  <c r="E100" i="9"/>
  <c r="B123" i="10"/>
  <c r="D116" i="10"/>
  <c r="B132" i="10"/>
  <c r="M89" i="9"/>
  <c r="B131" i="10"/>
  <c r="L89" i="9"/>
  <c r="B130" i="10"/>
  <c r="K89" i="9"/>
  <c r="B129" i="10"/>
  <c r="J89" i="9"/>
  <c r="B128" i="10"/>
  <c r="I89" i="9"/>
  <c r="B127" i="10"/>
  <c r="H89" i="9"/>
  <c r="B126" i="10"/>
  <c r="G89" i="9"/>
  <c r="B125" i="10"/>
  <c r="F89" i="9"/>
  <c r="B124" i="10"/>
  <c r="E89" i="9"/>
  <c r="D89" i="9"/>
  <c r="C90" i="9"/>
  <c r="C61" i="10"/>
  <c r="O12" i="14"/>
  <c r="N12" i="14"/>
  <c r="M12" i="14"/>
  <c r="L12" i="14"/>
  <c r="K12" i="14"/>
  <c r="J12" i="14"/>
  <c r="I12" i="14"/>
  <c r="H12" i="14"/>
  <c r="G12" i="14"/>
  <c r="F12" i="14"/>
  <c r="F8" i="14"/>
  <c r="C64" i="10"/>
  <c r="C63" i="10"/>
  <c r="C62" i="10"/>
  <c r="B19" i="10"/>
  <c r="B20" i="10"/>
  <c r="B76" i="10"/>
  <c r="B49" i="10"/>
  <c r="E72" i="9"/>
  <c r="B21" i="10"/>
  <c r="B77" i="10"/>
  <c r="B50" i="10"/>
  <c r="F72" i="9"/>
  <c r="B22" i="10"/>
  <c r="B78" i="10"/>
  <c r="B51" i="10"/>
  <c r="G72" i="9"/>
  <c r="B23" i="10"/>
  <c r="B79" i="10"/>
  <c r="B52" i="10"/>
  <c r="H72" i="9"/>
  <c r="B24" i="10"/>
  <c r="B80" i="10"/>
  <c r="B53" i="10"/>
  <c r="I72" i="9"/>
  <c r="B25" i="10"/>
  <c r="B81" i="10"/>
  <c r="B54" i="10"/>
  <c r="J72" i="9"/>
  <c r="B26" i="10"/>
  <c r="B82" i="10"/>
  <c r="B55" i="10"/>
  <c r="K72" i="9"/>
  <c r="B27" i="10"/>
  <c r="B83" i="10"/>
  <c r="B56" i="10"/>
  <c r="L72" i="9"/>
  <c r="B28" i="10"/>
  <c r="B84" i="10"/>
  <c r="B57" i="10"/>
  <c r="M72" i="9"/>
  <c r="B75" i="10"/>
  <c r="B48" i="10"/>
  <c r="D72" i="9"/>
  <c r="D5" i="9"/>
  <c r="G67" i="14"/>
  <c r="G66" i="14"/>
  <c r="H67" i="14"/>
  <c r="H66" i="14"/>
  <c r="I67" i="14"/>
  <c r="I66" i="14"/>
  <c r="J67" i="14"/>
  <c r="J66" i="14"/>
  <c r="K67" i="14"/>
  <c r="K66" i="14"/>
  <c r="L67" i="14"/>
  <c r="L66" i="14"/>
  <c r="M67" i="14"/>
  <c r="M66" i="14"/>
  <c r="N67" i="14"/>
  <c r="N66" i="14"/>
  <c r="O67" i="14"/>
  <c r="O66" i="14"/>
  <c r="F67" i="14"/>
  <c r="F66" i="14"/>
  <c r="F42" i="14"/>
  <c r="N42" i="14"/>
  <c r="O42" i="14"/>
  <c r="G42" i="14"/>
  <c r="H42" i="14"/>
  <c r="I42" i="14"/>
  <c r="J42" i="14"/>
  <c r="K42" i="14"/>
  <c r="L42" i="14"/>
  <c r="M42" i="14"/>
  <c r="C153" i="10"/>
  <c r="G63" i="14"/>
  <c r="H63" i="14"/>
  <c r="I63" i="14"/>
  <c r="J63" i="14"/>
  <c r="K63" i="14"/>
  <c r="L63" i="14"/>
  <c r="M63" i="14"/>
  <c r="N63" i="14"/>
  <c r="O63" i="14"/>
  <c r="F63" i="14"/>
  <c r="F2" i="14"/>
  <c r="H2" i="14"/>
  <c r="I2" i="14"/>
  <c r="J2" i="14"/>
  <c r="G2" i="14"/>
  <c r="K2" i="14"/>
  <c r="L2" i="14"/>
  <c r="G8" i="14"/>
  <c r="H8" i="14"/>
  <c r="H34" i="14"/>
  <c r="H33" i="14"/>
  <c r="H32" i="14"/>
  <c r="C65" i="10"/>
  <c r="J8" i="14"/>
  <c r="J33" i="14"/>
  <c r="J32" i="14"/>
  <c r="J34" i="14"/>
  <c r="O2" i="14"/>
  <c r="C70" i="10"/>
  <c r="O8" i="14"/>
  <c r="O33" i="14"/>
  <c r="O32" i="14"/>
  <c r="O34" i="14"/>
  <c r="N2" i="14"/>
  <c r="C69" i="10"/>
  <c r="N8" i="14"/>
  <c r="N34" i="14"/>
  <c r="N33" i="14"/>
  <c r="N32" i="14"/>
  <c r="M2" i="14"/>
  <c r="C68" i="10"/>
  <c r="M8" i="14"/>
  <c r="M33" i="14"/>
  <c r="M32" i="14"/>
  <c r="M34" i="14"/>
  <c r="C67" i="10"/>
  <c r="L8" i="14"/>
  <c r="L33" i="14"/>
  <c r="L32" i="14"/>
  <c r="L34" i="14"/>
  <c r="C66" i="10"/>
  <c r="K8" i="14"/>
  <c r="K33" i="14"/>
  <c r="K32" i="14"/>
  <c r="K34" i="14"/>
  <c r="I8" i="14"/>
  <c r="I33" i="14"/>
  <c r="I32" i="14"/>
  <c r="I34" i="14"/>
  <c r="B155" i="10"/>
  <c r="B28" i="15"/>
  <c r="B164" i="10"/>
  <c r="B37" i="15"/>
  <c r="B163" i="10"/>
  <c r="B36" i="15"/>
  <c r="B162" i="10"/>
  <c r="B35" i="15"/>
  <c r="B161" i="10"/>
  <c r="B34" i="15"/>
  <c r="B160" i="10"/>
  <c r="B33" i="15"/>
  <c r="B158" i="10"/>
  <c r="B31" i="15"/>
  <c r="B157" i="10"/>
  <c r="B30" i="15"/>
  <c r="B156" i="10"/>
  <c r="B29" i="15"/>
  <c r="B159" i="10"/>
  <c r="B32" i="15"/>
  <c r="E39" i="15"/>
  <c r="E40" i="15"/>
  <c r="D6" i="15"/>
  <c r="D7" i="15"/>
  <c r="C8" i="15"/>
  <c r="D8" i="15"/>
  <c r="E8" i="15"/>
  <c r="C9" i="15"/>
  <c r="D9" i="15"/>
  <c r="E9" i="15"/>
  <c r="C10" i="15"/>
  <c r="D10" i="15"/>
  <c r="E10" i="15"/>
  <c r="C11" i="15"/>
  <c r="D11" i="15"/>
  <c r="E11" i="15"/>
  <c r="C12" i="15"/>
  <c r="D12" i="15"/>
  <c r="E12" i="15"/>
  <c r="C13" i="15"/>
  <c r="D13" i="15"/>
  <c r="E13" i="15"/>
  <c r="C14" i="15"/>
  <c r="D14" i="15"/>
  <c r="E14" i="15"/>
  <c r="C15" i="15"/>
  <c r="D15" i="15"/>
  <c r="E15" i="15"/>
  <c r="B6" i="15"/>
  <c r="B13" i="15"/>
  <c r="B12" i="15"/>
  <c r="B11" i="15"/>
  <c r="B10" i="15"/>
  <c r="B9" i="15"/>
  <c r="B8" i="15"/>
  <c r="B7" i="15"/>
  <c r="B15" i="15"/>
  <c r="B14" i="15"/>
  <c r="B182" i="10"/>
  <c r="B183" i="10"/>
  <c r="B184" i="10"/>
  <c r="B185" i="10"/>
  <c r="B186" i="10"/>
  <c r="B187" i="10"/>
  <c r="B188" i="10"/>
  <c r="B189" i="10"/>
  <c r="B190" i="10"/>
  <c r="B181" i="10"/>
  <c r="B169" i="10"/>
  <c r="B170" i="10"/>
  <c r="B171" i="10"/>
  <c r="B172" i="10"/>
  <c r="B173" i="10"/>
  <c r="B174" i="10"/>
  <c r="B175" i="10"/>
  <c r="B176" i="10"/>
  <c r="B177" i="10"/>
  <c r="B168" i="10"/>
  <c r="C46" i="10"/>
  <c r="C27" i="10"/>
  <c r="B137" i="10"/>
  <c r="B138" i="10"/>
  <c r="B139" i="10"/>
  <c r="B140" i="10"/>
  <c r="B196" i="10"/>
  <c r="B197" i="10"/>
  <c r="B198" i="10"/>
  <c r="B199" i="10"/>
  <c r="B200" i="10"/>
  <c r="B201" i="10"/>
  <c r="B202" i="10"/>
  <c r="B203" i="10"/>
  <c r="B204" i="10"/>
  <c r="B205" i="10"/>
  <c r="C23" i="10"/>
  <c r="C22" i="10"/>
  <c r="C21" i="10"/>
  <c r="C20" i="10"/>
  <c r="B88" i="10"/>
  <c r="B89" i="10"/>
  <c r="B90" i="10"/>
  <c r="B91" i="10"/>
  <c r="B92" i="10"/>
  <c r="B93" i="10"/>
  <c r="B94" i="10"/>
  <c r="B95" i="10"/>
  <c r="B96" i="10"/>
  <c r="B97" i="10"/>
  <c r="B34" i="10"/>
  <c r="B35" i="10"/>
  <c r="B36" i="10"/>
  <c r="B33" i="10"/>
  <c r="C25" i="10"/>
  <c r="C24" i="10"/>
  <c r="C28" i="10"/>
  <c r="C26" i="10"/>
  <c r="J36" i="1"/>
  <c r="J35" i="1"/>
  <c r="C6" i="15"/>
  <c r="E6" i="15"/>
  <c r="C7" i="15"/>
  <c r="E7" i="15"/>
  <c r="E17" i="15"/>
  <c r="J31" i="1"/>
  <c r="E18" i="15"/>
  <c r="J32" i="1"/>
  <c r="G33" i="14"/>
  <c r="G32" i="14"/>
  <c r="G34" i="14"/>
  <c r="F34" i="14"/>
  <c r="F33" i="14"/>
  <c r="F32" i="14"/>
  <c r="M83" i="9"/>
  <c r="L83" i="9"/>
  <c r="K83" i="9"/>
  <c r="J83" i="9"/>
  <c r="I83" i="9"/>
  <c r="H83" i="9"/>
  <c r="G83" i="9"/>
  <c r="E83" i="9"/>
  <c r="F83" i="9"/>
  <c r="D83" i="9"/>
</calcChain>
</file>

<file path=xl/sharedStrings.xml><?xml version="1.0" encoding="utf-8"?>
<sst xmlns="http://schemas.openxmlformats.org/spreadsheetml/2006/main" count="497" uniqueCount="305">
  <si>
    <t>Emission reduction due fuel switch from NRB to renewable biomass</t>
    <phoneticPr fontId="22" type="noConversion"/>
  </si>
  <si>
    <t>User defined</t>
    <phoneticPr fontId="22" type="noConversion"/>
  </si>
  <si>
    <t>-</t>
    <phoneticPr fontId="22" type="noConversion"/>
  </si>
  <si>
    <t>Monitored</t>
    <phoneticPr fontId="22" type="noConversion"/>
  </si>
  <si>
    <t xml:space="preserve">If default adjustment factor is applied. </t>
    <phoneticPr fontId="22" type="noConversion"/>
  </si>
  <si>
    <t xml:space="preserve">Quantity of fire wood consumed in baseline scenario during year y </t>
    <phoneticPr fontId="22" type="noConversion"/>
  </si>
  <si>
    <t xml:space="preserve">ton/household </t>
    <phoneticPr fontId="22" type="noConversion"/>
  </si>
  <si>
    <t>Crediting period - Start year</t>
    <phoneticPr fontId="22" type="noConversion"/>
  </si>
  <si>
    <t xml:space="preserve">Quantity of fire wood that is saved in the year y </t>
    <phoneticPr fontId="22" type="noConversion"/>
  </si>
  <si>
    <t>tCO2/year</t>
    <phoneticPr fontId="22" type="noConversion"/>
  </si>
  <si>
    <t>Efficiency of project cookstove in year y  (ηp,y) is estimated as follows:</t>
  </si>
  <si>
    <t>ηp</t>
  </si>
  <si>
    <t>Number of project cookstoves of each age group operational in the year y</t>
  </si>
  <si>
    <t>NCV_Wood</t>
    <phoneticPr fontId="22" type="noConversion"/>
  </si>
  <si>
    <t>TJ/t</t>
    <phoneticPr fontId="22" type="noConversion"/>
  </si>
  <si>
    <t>%</t>
    <phoneticPr fontId="22" type="noConversion"/>
  </si>
  <si>
    <t>Insert the type of baseline cookstove for example three stone, mud stove etc.</t>
    <phoneticPr fontId="22" type="noConversion"/>
  </si>
  <si>
    <t>Insert the type of project cookstove (brand name/design etc.) for example Ecostove/ rocket type</t>
    <phoneticPr fontId="22" type="noConversion"/>
  </si>
  <si>
    <t xml:space="preserve">Emission factor </t>
    <phoneticPr fontId="22" type="noConversion"/>
  </si>
  <si>
    <t>Fixed</t>
    <phoneticPr fontId="22" type="noConversion"/>
  </si>
  <si>
    <t>Renewable</t>
    <phoneticPr fontId="22" type="noConversion"/>
  </si>
  <si>
    <t>Year</t>
    <phoneticPr fontId="22" type="noConversion"/>
  </si>
  <si>
    <t>Adjustment factor to account for uncertainty related to project cookstove efficiency test</t>
  </si>
  <si>
    <t>-</t>
    <phoneticPr fontId="22" type="noConversion"/>
  </si>
  <si>
    <t>GWP_N2O_CP1</t>
    <phoneticPr fontId="22" type="noConversion"/>
  </si>
  <si>
    <t>Year</t>
    <phoneticPr fontId="22" type="noConversion"/>
  </si>
  <si>
    <t>Guidance Notes</t>
    <phoneticPr fontId="22" type="noConversion"/>
  </si>
  <si>
    <t>ηp,y</t>
    <phoneticPr fontId="22" type="noConversion"/>
  </si>
  <si>
    <t>Discount factor for baseline cookstove usage</t>
    <phoneticPr fontId="22" type="noConversion"/>
  </si>
  <si>
    <t>Key</t>
    <phoneticPr fontId="22" type="noConversion"/>
  </si>
  <si>
    <t>User-input cells with a pull-down menu</t>
  </si>
  <si>
    <t>fNRB</t>
    <phoneticPr fontId="22" type="noConversion"/>
  </si>
  <si>
    <t>GWP_CH4_CP2</t>
    <phoneticPr fontId="22" type="noConversion"/>
  </si>
  <si>
    <t>Insert the monitored value.</t>
    <phoneticPr fontId="22" type="noConversion"/>
  </si>
  <si>
    <t>Key</t>
    <phoneticPr fontId="22" type="noConversion"/>
  </si>
  <si>
    <t>Default adjustment factor</t>
    <phoneticPr fontId="22" type="noConversion"/>
  </si>
  <si>
    <t>Discount factor to account for efficiency loss of project cookstove per year of operation</t>
    <phoneticPr fontId="22" type="noConversion"/>
  </si>
  <si>
    <t>Fraction of biomass, used in year y for baseline scenario, which can be established as non- renewable</t>
    <phoneticPr fontId="22" type="noConversion"/>
  </si>
  <si>
    <t>Unit</t>
    <phoneticPr fontId="22" type="noConversion"/>
  </si>
  <si>
    <t>tCO2/year</t>
    <phoneticPr fontId="22" type="noConversion"/>
  </si>
  <si>
    <t>Fixed</t>
    <phoneticPr fontId="22" type="noConversion"/>
  </si>
  <si>
    <t>Fixed</t>
    <phoneticPr fontId="22" type="noConversion"/>
  </si>
  <si>
    <t>Usage rate for project cookstoves in year y, based on adoption rate and drop off rate revealed by usage surveys</t>
    <phoneticPr fontId="22" type="noConversion"/>
  </si>
  <si>
    <t xml:space="preserve">Leakage </t>
    <phoneticPr fontId="22" type="noConversion"/>
  </si>
  <si>
    <t>EF_Non-CO2</t>
    <phoneticPr fontId="22" type="noConversion"/>
  </si>
  <si>
    <t xml:space="preserve">Project Implementation plan </t>
    <phoneticPr fontId="22" type="noConversion"/>
  </si>
  <si>
    <t xml:space="preserve">Fuelwood consumption </t>
    <phoneticPr fontId="22" type="noConversion"/>
  </si>
  <si>
    <t>User defined (Monitored)</t>
    <phoneticPr fontId="22" type="noConversion"/>
  </si>
  <si>
    <t>Usage rate</t>
    <phoneticPr fontId="22" type="noConversion"/>
  </si>
  <si>
    <t xml:space="preserve">age-group </t>
    <phoneticPr fontId="22" type="noConversion"/>
  </si>
  <si>
    <t>0_1</t>
    <phoneticPr fontId="22" type="noConversion"/>
  </si>
  <si>
    <t>1_2</t>
    <phoneticPr fontId="22" type="noConversion"/>
  </si>
  <si>
    <t>2_3</t>
    <phoneticPr fontId="22" type="noConversion"/>
  </si>
  <si>
    <t>3_4</t>
    <phoneticPr fontId="22" type="noConversion"/>
  </si>
  <si>
    <t>4_5</t>
    <phoneticPr fontId="22" type="noConversion"/>
  </si>
  <si>
    <t>5_6</t>
    <phoneticPr fontId="22" type="noConversion"/>
  </si>
  <si>
    <t>Emission reduction fuel switching + energy efficiency</t>
    <phoneticPr fontId="22" type="noConversion"/>
  </si>
  <si>
    <t>Fuel Switch from Non renewable to renewable fuel with and without replacing baseline stove</t>
    <phoneticPr fontId="22" type="noConversion"/>
  </si>
  <si>
    <t>Minimum service level</t>
    <phoneticPr fontId="22" type="noConversion"/>
  </si>
  <si>
    <t>Field Performance test</t>
    <phoneticPr fontId="22" type="noConversion"/>
  </si>
  <si>
    <t>If you would like to monitor the "project cookstove efficiency (np) in year y", select the option "User defined" and insert the expected value for each year in cell D 47 to D57.</t>
    <phoneticPr fontId="22" type="noConversion"/>
  </si>
  <si>
    <t>If you would like to monitor the "project cookstove efficiency loss (DFn), select the option "User Defined".</t>
    <phoneticPr fontId="22" type="noConversion"/>
  </si>
  <si>
    <t>Insert the fNRB for baseline.</t>
    <phoneticPr fontId="22" type="noConversion"/>
  </si>
  <si>
    <t>Fixed</t>
  </si>
  <si>
    <t xml:space="preserve">Bp,y </t>
    <phoneticPr fontId="22" type="noConversion"/>
  </si>
  <si>
    <t>Efficiency of the cookstove in year y</t>
    <phoneticPr fontId="22" type="noConversion"/>
  </si>
  <si>
    <t xml:space="preserve">Quantity of fire wood saved in project scenario during year y </t>
    <phoneticPr fontId="22" type="noConversion"/>
  </si>
  <si>
    <t>Non-CO2 emission factor of fire wood that is substituted or reduced.</t>
    <phoneticPr fontId="22" type="noConversion"/>
  </si>
  <si>
    <t>CO2 emission factor of fire wood that is substituted or reduced.</t>
    <phoneticPr fontId="22" type="noConversion"/>
  </si>
  <si>
    <t>Default</t>
    <phoneticPr fontId="22" type="noConversion"/>
  </si>
  <si>
    <t>Baseline fuel consumption Option</t>
    <phoneticPr fontId="22" type="noConversion"/>
  </si>
  <si>
    <t>Select the useful lifetime of the project cookstove as per the manufactures specifications.</t>
    <phoneticPr fontId="22" type="noConversion"/>
  </si>
  <si>
    <t>Usage of baseline cookstove during the year y (fraction) in project scenario</t>
  </si>
  <si>
    <t>x</t>
  </si>
  <si>
    <t>y – 1</t>
  </si>
  <si>
    <t>y</t>
  </si>
  <si>
    <t>Year of the crediting period</t>
  </si>
  <si>
    <t>NP,y</t>
  </si>
  <si>
    <t>Py</t>
  </si>
  <si>
    <t>UP,y</t>
  </si>
  <si>
    <t>fNRB,b,y</t>
  </si>
  <si>
    <t>EFb,fuel,CO2</t>
  </si>
  <si>
    <t xml:space="preserve">DFb,Stove,y </t>
  </si>
  <si>
    <t>No</t>
    <phoneticPr fontId="22" type="noConversion"/>
  </si>
  <si>
    <t>Efficiency of project cookstove determined at the start of the project activity</t>
    <phoneticPr fontId="22" type="noConversion"/>
  </si>
  <si>
    <t>ton/household in year y</t>
    <phoneticPr fontId="22" type="noConversion"/>
  </si>
  <si>
    <t>User- Input Cell</t>
    <phoneticPr fontId="22" type="noConversion"/>
  </si>
  <si>
    <t>Cells not intended for user input</t>
    <phoneticPr fontId="22" type="noConversion"/>
  </si>
  <si>
    <t xml:space="preserve">Project Information </t>
    <phoneticPr fontId="22" type="noConversion"/>
  </si>
  <si>
    <t>GS ID</t>
    <phoneticPr fontId="22" type="noConversion"/>
  </si>
  <si>
    <t>Insert GS ID.</t>
    <phoneticPr fontId="22" type="noConversion"/>
  </si>
  <si>
    <t xml:space="preserve">Crediting period </t>
    <phoneticPr fontId="22" type="noConversion"/>
  </si>
  <si>
    <r>
      <t xml:space="preserve">If you opted for option </t>
    </r>
    <r>
      <rPr>
        <b/>
        <sz val="12"/>
        <color indexed="8"/>
        <rFont val="Calibri"/>
      </rPr>
      <t>"Field Performance test"</t>
    </r>
    <r>
      <rPr>
        <sz val="12"/>
        <color indexed="8"/>
        <rFont val="Calibri"/>
        <family val="2"/>
      </rPr>
      <t xml:space="preserve"> method, please provide input value otherwise leave it blank.</t>
    </r>
    <phoneticPr fontId="22" type="noConversion"/>
  </si>
  <si>
    <t>tCo2/twood</t>
    <phoneticPr fontId="22" type="noConversion"/>
  </si>
  <si>
    <t>Cookstove in operation</t>
    <phoneticPr fontId="22" type="noConversion"/>
  </si>
  <si>
    <t>Determination of quantity of fire wood consumed in the baseline (Bb,y)</t>
  </si>
  <si>
    <t>Historical data</t>
    <phoneticPr fontId="22" type="noConversion"/>
  </si>
  <si>
    <t>Quantity of fire wood that is saved (P,y) is estimated as follows:</t>
  </si>
  <si>
    <t xml:space="preserve">Bb,y </t>
  </si>
  <si>
    <t>ηp,y</t>
  </si>
  <si>
    <t>Second Commitment period</t>
    <phoneticPr fontId="22" type="noConversion"/>
  </si>
  <si>
    <t>PoA</t>
    <phoneticPr fontId="22" type="noConversion"/>
  </si>
  <si>
    <t>Yes</t>
    <phoneticPr fontId="22" type="noConversion"/>
  </si>
  <si>
    <t>%</t>
    <phoneticPr fontId="22" type="noConversion"/>
  </si>
  <si>
    <t>Efficiency of project cookstove in year y</t>
    <phoneticPr fontId="22" type="noConversion"/>
  </si>
  <si>
    <t>Efficiency of the baseline cookstove being replaced</t>
    <phoneticPr fontId="22" type="noConversion"/>
  </si>
  <si>
    <t>Efficiency of project cookstove in year y</t>
    <phoneticPr fontId="22" type="noConversion"/>
  </si>
  <si>
    <r>
      <t>t CO</t>
    </r>
    <r>
      <rPr>
        <vertAlign val="subscript"/>
        <sz val="11"/>
        <color indexed="9"/>
        <rFont val="Calibri"/>
        <family val="2"/>
      </rPr>
      <t>2</t>
    </r>
    <r>
      <rPr>
        <sz val="11"/>
        <color indexed="9"/>
        <rFont val="Calibri"/>
        <family val="2"/>
      </rPr>
      <t>/year</t>
    </r>
  </si>
  <si>
    <t xml:space="preserve">
</t>
  </si>
  <si>
    <t>EFb,fuel,non_CO2</t>
    <phoneticPr fontId="22" type="noConversion"/>
  </si>
  <si>
    <t>Py</t>
    <phoneticPr fontId="22" type="noConversion"/>
  </si>
  <si>
    <t>Py =  Bb,y * (1-ηb/ηp,y)………………………………………………………………..……………..(2)</t>
    <phoneticPr fontId="22" type="noConversion"/>
  </si>
  <si>
    <t>EF_CH4</t>
    <phoneticPr fontId="22" type="noConversion"/>
  </si>
  <si>
    <t>EF_N2O</t>
    <phoneticPr fontId="22" type="noConversion"/>
  </si>
  <si>
    <t xml:space="preserve">Project cookstove Efficiency in year y  (ηp,y) </t>
    <phoneticPr fontId="22" type="noConversion"/>
  </si>
  <si>
    <t>User defined</t>
    <phoneticPr fontId="22" type="noConversion"/>
  </si>
  <si>
    <t>Default</t>
    <phoneticPr fontId="22" type="noConversion"/>
  </si>
  <si>
    <t>UFL</t>
    <phoneticPr fontId="22" type="noConversion"/>
  </si>
  <si>
    <t>Useful life</t>
    <phoneticPr fontId="22" type="noConversion"/>
  </si>
  <si>
    <t>Npy*Upy</t>
    <phoneticPr fontId="22" type="noConversion"/>
  </si>
  <si>
    <t>-</t>
    <phoneticPr fontId="22" type="noConversion"/>
  </si>
  <si>
    <t xml:space="preserve">No of cookstove </t>
    <phoneticPr fontId="22" type="noConversion"/>
  </si>
  <si>
    <t>Insert the number of cookstove installed or planned for installation in each year. (Column "No of cookstove")</t>
    <phoneticPr fontId="22" type="noConversion"/>
  </si>
  <si>
    <t>DFη</t>
    <phoneticPr fontId="22" type="noConversion"/>
  </si>
  <si>
    <t>Select to select option for project NRB estimation.</t>
    <phoneticPr fontId="22" type="noConversion"/>
  </si>
  <si>
    <t>Project NRB</t>
    <phoneticPr fontId="22" type="noConversion"/>
  </si>
  <si>
    <t>N/A</t>
    <phoneticPr fontId="22" type="noConversion"/>
  </si>
  <si>
    <t>N/A</t>
    <phoneticPr fontId="22" type="noConversion"/>
  </si>
  <si>
    <t>Is this project a VPA of registered PoA?</t>
    <phoneticPr fontId="22" type="noConversion"/>
  </si>
  <si>
    <t>Would you like to apply default value or monitored value?</t>
    <phoneticPr fontId="22" type="noConversion"/>
  </si>
  <si>
    <t>Select the option</t>
    <phoneticPr fontId="22" type="noConversion"/>
  </si>
  <si>
    <t>Minimum service level</t>
  </si>
  <si>
    <t xml:space="preserve">Project Technology Useful Lifetime </t>
    <phoneticPr fontId="22" type="noConversion"/>
  </si>
  <si>
    <t>Year</t>
    <phoneticPr fontId="22" type="noConversion"/>
  </si>
  <si>
    <t xml:space="preserve">Cookstove in operation </t>
    <phoneticPr fontId="22" type="noConversion"/>
  </si>
  <si>
    <t xml:space="preserve">Unit </t>
    <phoneticPr fontId="22" type="noConversion"/>
  </si>
  <si>
    <t>Input value</t>
    <phoneticPr fontId="22" type="noConversion"/>
  </si>
  <si>
    <t>Household Size</t>
    <phoneticPr fontId="22" type="noConversion"/>
  </si>
  <si>
    <t>person per household</t>
    <phoneticPr fontId="22" type="noConversion"/>
  </si>
  <si>
    <t>tonnes per household per year</t>
    <phoneticPr fontId="22" type="noConversion"/>
  </si>
  <si>
    <t>tonnes per capita per year</t>
    <phoneticPr fontId="22" type="noConversion"/>
  </si>
  <si>
    <t>-</t>
    <phoneticPr fontId="22" type="noConversion"/>
  </si>
  <si>
    <t>6_7</t>
    <phoneticPr fontId="22" type="noConversion"/>
  </si>
  <si>
    <t>7_8</t>
    <phoneticPr fontId="22" type="noConversion"/>
  </si>
  <si>
    <t>8_9</t>
    <phoneticPr fontId="22" type="noConversion"/>
  </si>
  <si>
    <t>9_10</t>
    <phoneticPr fontId="22" type="noConversion"/>
  </si>
  <si>
    <t>fNRB</t>
    <phoneticPr fontId="22" type="noConversion"/>
  </si>
  <si>
    <t>Input value</t>
    <phoneticPr fontId="22" type="noConversion"/>
  </si>
  <si>
    <t xml:space="preserve">Leakage </t>
    <phoneticPr fontId="22" type="noConversion"/>
  </si>
  <si>
    <t>Only applicable for PoAs.</t>
    <phoneticPr fontId="22" type="noConversion"/>
  </si>
  <si>
    <t>2006; IPCC Guidelines for National Greenhouse Gas Inventories</t>
    <phoneticPr fontId="22" type="noConversion"/>
  </si>
  <si>
    <t>2006; IPCC Guidelines for National Greenhouse Gas Inventories</t>
    <phoneticPr fontId="22" type="noConversion"/>
  </si>
  <si>
    <t xml:space="preserve">Crediting period </t>
    <phoneticPr fontId="22" type="noConversion"/>
  </si>
  <si>
    <t xml:space="preserve">Go to "ER" worksheet for emission reduction summary. </t>
  </si>
  <si>
    <t>Go back to "Start" worksheet.</t>
  </si>
  <si>
    <t>GWP_N2O_CP2</t>
    <phoneticPr fontId="22" type="noConversion"/>
  </si>
  <si>
    <t>GWP_CH4_CP1</t>
    <phoneticPr fontId="22" type="noConversion"/>
  </si>
  <si>
    <t>IPCC</t>
    <phoneticPr fontId="22" type="noConversion"/>
  </si>
  <si>
    <t>tCO2/TJ</t>
    <phoneticPr fontId="22" type="noConversion"/>
  </si>
  <si>
    <t>EF_CO2_Wood</t>
    <phoneticPr fontId="22" type="noConversion"/>
  </si>
  <si>
    <t>2007; IPCC Fourth Assessment Report: Climate Change</t>
  </si>
  <si>
    <t xml:space="preserve"> tCO2/ton of wood</t>
    <phoneticPr fontId="22" type="noConversion"/>
  </si>
  <si>
    <t xml:space="preserve"> tCO2/ton of wood</t>
    <phoneticPr fontId="22" type="noConversion"/>
  </si>
  <si>
    <t xml:space="preserve">Insert value for number of person per household, estimated as per local survey or historical data. </t>
    <phoneticPr fontId="22" type="noConversion"/>
  </si>
  <si>
    <t>tonnes per household per year</t>
    <phoneticPr fontId="22" type="noConversion"/>
  </si>
  <si>
    <t>Cookstove Efficiency</t>
    <phoneticPr fontId="22" type="noConversion"/>
  </si>
  <si>
    <t>%</t>
    <phoneticPr fontId="22" type="noConversion"/>
  </si>
  <si>
    <t>Do not insert/change value in this cell. (black cell)</t>
    <phoneticPr fontId="22" type="noConversion"/>
  </si>
  <si>
    <t xml:space="preserve">Project cookstove Efficiency in year y  (ηp,y) </t>
    <phoneticPr fontId="22" type="noConversion"/>
  </si>
  <si>
    <t>Monitored value</t>
    <phoneticPr fontId="22" type="noConversion"/>
  </si>
  <si>
    <t>Introduction of new efficeint cookstoves</t>
    <phoneticPr fontId="22" type="noConversion"/>
  </si>
  <si>
    <t xml:space="preserve">Module 2. </t>
    <phoneticPr fontId="22" type="noConversion"/>
  </si>
  <si>
    <t>Project Cookstove type</t>
    <phoneticPr fontId="22" type="noConversion"/>
  </si>
  <si>
    <t xml:space="preserve">If fixed option is adopted, please provide teh fNRB value. </t>
    <phoneticPr fontId="22" type="noConversion"/>
  </si>
  <si>
    <t xml:space="preserve">If "user defined" option is adopted, provide the fNRB value for each year. </t>
    <phoneticPr fontId="22" type="noConversion"/>
  </si>
  <si>
    <t>Baseline Cookstove efficiency (ηb)</t>
    <phoneticPr fontId="22" type="noConversion"/>
  </si>
  <si>
    <t>Default value</t>
    <phoneticPr fontId="22" type="noConversion"/>
  </si>
  <si>
    <t>N/A</t>
    <phoneticPr fontId="22" type="noConversion"/>
  </si>
  <si>
    <t>Insert the fraction of cookstove in use in each year</t>
    <phoneticPr fontId="22" type="noConversion"/>
  </si>
  <si>
    <t>-</t>
    <phoneticPr fontId="22" type="noConversion"/>
  </si>
  <si>
    <t>Annual Average emission reduction:</t>
    <phoneticPr fontId="22" type="noConversion"/>
  </si>
  <si>
    <t>Select the cell to choose options from dropdown list. (Blue cell)</t>
    <phoneticPr fontId="22" type="noConversion"/>
  </si>
  <si>
    <t>GS</t>
    <phoneticPr fontId="22" type="noConversion"/>
  </si>
  <si>
    <t xml:space="preserve">Baseline Fuelwood Consumption </t>
    <phoneticPr fontId="22" type="noConversion"/>
  </si>
  <si>
    <t>N/A</t>
    <phoneticPr fontId="22" type="noConversion"/>
  </si>
  <si>
    <t>Crediting period - End year</t>
    <phoneticPr fontId="22" type="noConversion"/>
  </si>
  <si>
    <t>Baseline Cookstove type</t>
    <phoneticPr fontId="22" type="noConversion"/>
  </si>
  <si>
    <t xml:space="preserve">Project Technology </t>
    <phoneticPr fontId="22" type="noConversion"/>
  </si>
  <si>
    <t>-</t>
    <phoneticPr fontId="22" type="noConversion"/>
  </si>
  <si>
    <t xml:space="preserve">Baseline Cookstove efficiency </t>
    <phoneticPr fontId="22" type="noConversion"/>
  </si>
  <si>
    <t>Default</t>
  </si>
  <si>
    <t xml:space="preserve">Project Cookstove efficiency </t>
    <phoneticPr fontId="22" type="noConversion"/>
  </si>
  <si>
    <t>User defined (WBT)</t>
  </si>
  <si>
    <t>User defined (WBT)</t>
    <phoneticPr fontId="22" type="noConversion"/>
  </si>
  <si>
    <t>Project Cookstove Efficiency (ηp)</t>
    <phoneticPr fontId="22" type="noConversion"/>
  </si>
  <si>
    <t>Select "User defined (WBT)"</t>
    <phoneticPr fontId="22" type="noConversion"/>
  </si>
  <si>
    <t xml:space="preserve">Emission reduction </t>
    <phoneticPr fontId="22" type="noConversion"/>
  </si>
  <si>
    <t>Determination of project cookstove efficiency (ηp,y and ηp  ):</t>
    <phoneticPr fontId="22" type="noConversion"/>
  </si>
  <si>
    <t>ηb</t>
    <phoneticPr fontId="22" type="noConversion"/>
  </si>
  <si>
    <t>ηp,y = ηp * (DFη)y-1 * 0.94………...........…………………………………………………..….(3)</t>
    <phoneticPr fontId="22" type="noConversion"/>
  </si>
  <si>
    <t>Select the option.</t>
    <phoneticPr fontId="22" type="noConversion"/>
  </si>
  <si>
    <t>Project Cookstove Efficiency loss (DFη)</t>
    <phoneticPr fontId="22" type="noConversion"/>
  </si>
  <si>
    <t>Year</t>
    <phoneticPr fontId="22" type="noConversion"/>
  </si>
  <si>
    <t>Efficiency of baseline cookstove in year y</t>
    <phoneticPr fontId="22" type="noConversion"/>
  </si>
  <si>
    <t>fNRB,b,y</t>
    <phoneticPr fontId="22" type="noConversion"/>
  </si>
  <si>
    <t>fNRB,p,y</t>
    <phoneticPr fontId="22" type="noConversion"/>
  </si>
  <si>
    <t xml:space="preserve">Module 1. </t>
    <phoneticPr fontId="22" type="noConversion"/>
  </si>
  <si>
    <t xml:space="preserve">Select to option "Fixed" if you would like to apply fixed "fNRB" value for entire crediting period. Otherwise Select the option "user defined" </t>
    <phoneticPr fontId="22" type="noConversion"/>
  </si>
  <si>
    <t>Insert value here, if you selected "Fixed" option for fNRB in above cell,</t>
    <phoneticPr fontId="22" type="noConversion"/>
  </si>
  <si>
    <t>Select the remaining useful lifetime (if baseline stove will be in use) or technical operational life if baseline will be replaced with a new stove.</t>
    <phoneticPr fontId="22" type="noConversion"/>
  </si>
  <si>
    <t>Select the option.</t>
    <phoneticPr fontId="22" type="noConversion"/>
  </si>
  <si>
    <t xml:space="preserve">Please insert the project cookstove efficiency. </t>
    <phoneticPr fontId="22" type="noConversion"/>
  </si>
  <si>
    <t>Age Group or Operational Year</t>
    <phoneticPr fontId="22" type="noConversion"/>
  </si>
  <si>
    <t>Type of stove in baseline scenario. (Model or Common Name)</t>
    <phoneticPr fontId="22" type="noConversion"/>
  </si>
  <si>
    <t>User defined</t>
    <phoneticPr fontId="22" type="noConversion"/>
  </si>
  <si>
    <t>Efficiency of project cookstove determined at the start of the project activity</t>
    <phoneticPr fontId="22" type="noConversion"/>
  </si>
  <si>
    <t xml:space="preserve">Module 1. </t>
    <phoneticPr fontId="22" type="noConversion"/>
  </si>
  <si>
    <t>Total emission reduction</t>
    <phoneticPr fontId="22" type="noConversion"/>
  </si>
  <si>
    <t xml:space="preserve">Module 2. </t>
    <phoneticPr fontId="22" type="noConversion"/>
  </si>
  <si>
    <t>Fuel Switch from Non renewable to renewable fuel</t>
    <phoneticPr fontId="22" type="noConversion"/>
  </si>
  <si>
    <t xml:space="preserve">Project operational plan </t>
    <phoneticPr fontId="22" type="noConversion"/>
  </si>
  <si>
    <t>Leakage adjustment (Emission reduction after leakage adjustment)</t>
    <phoneticPr fontId="22" type="noConversion"/>
  </si>
  <si>
    <t xml:space="preserve">Net Emission reduction </t>
    <phoneticPr fontId="22" type="noConversion"/>
  </si>
  <si>
    <t xml:space="preserve">Emission reduction - Summary </t>
    <phoneticPr fontId="22" type="noConversion"/>
  </si>
  <si>
    <t>Year</t>
    <phoneticPr fontId="22" type="noConversion"/>
  </si>
  <si>
    <t xml:space="preserve">Emission reduction </t>
    <phoneticPr fontId="22" type="noConversion"/>
  </si>
  <si>
    <t>tCO2/year</t>
    <phoneticPr fontId="22" type="noConversion"/>
  </si>
  <si>
    <t xml:space="preserve">Total </t>
    <phoneticPr fontId="22" type="noConversion"/>
  </si>
  <si>
    <t xml:space="preserve">Annual emission reduction </t>
    <phoneticPr fontId="22" type="noConversion"/>
  </si>
  <si>
    <t>EFCO2</t>
    <phoneticPr fontId="22" type="noConversion"/>
  </si>
  <si>
    <t>First commitment period</t>
    <phoneticPr fontId="22" type="noConversion"/>
  </si>
  <si>
    <t xml:space="preserve">If monitored value is applied. </t>
    <phoneticPr fontId="22" type="noConversion"/>
  </si>
  <si>
    <t>Survey</t>
    <phoneticPr fontId="22" type="noConversion"/>
  </si>
  <si>
    <t>Insert crediting period start year.</t>
    <phoneticPr fontId="22" type="noConversion"/>
  </si>
  <si>
    <r>
      <t xml:space="preserve">If you opted for option </t>
    </r>
    <r>
      <rPr>
        <b/>
        <sz val="12"/>
        <color indexed="8"/>
        <rFont val="Calibri"/>
      </rPr>
      <t>"historical data"</t>
    </r>
    <r>
      <rPr>
        <sz val="12"/>
        <color indexed="8"/>
        <rFont val="Calibri"/>
        <family val="2"/>
      </rPr>
      <t xml:space="preserve"> in above cell, please provide input value otherwise leave it blank.</t>
    </r>
    <phoneticPr fontId="22" type="noConversion"/>
  </si>
  <si>
    <t>%</t>
    <phoneticPr fontId="22" type="noConversion"/>
  </si>
  <si>
    <t>Insert project cookstove value estimated by carrying out the water boiling test.</t>
    <phoneticPr fontId="22" type="noConversion"/>
  </si>
  <si>
    <t>Input value</t>
    <phoneticPr fontId="22" type="noConversion"/>
  </si>
  <si>
    <t>Baseline Cookstove efficiency (ηb)</t>
    <phoneticPr fontId="22" type="noConversion"/>
  </si>
  <si>
    <t>User defined baseline Cookstove Efficiency</t>
    <phoneticPr fontId="22" type="noConversion"/>
  </si>
  <si>
    <t xml:space="preserve">Project Cookstove efficiency </t>
    <phoneticPr fontId="22" type="noConversion"/>
  </si>
  <si>
    <t xml:space="preserve">If the selected option is User defined, please provide the baseline stove efficiency. </t>
    <phoneticPr fontId="22" type="noConversion"/>
  </si>
  <si>
    <t xml:space="preserve">Baseline Cookstove efficiency (ηb) </t>
    <phoneticPr fontId="22" type="noConversion"/>
  </si>
  <si>
    <t>Select the option.</t>
    <phoneticPr fontId="22" type="noConversion"/>
  </si>
  <si>
    <t xml:space="preserve">Please insert the value, if you have selected the option "User defined" in above cell. </t>
    <phoneticPr fontId="22" type="noConversion"/>
  </si>
  <si>
    <t>User defined Project Cookstove Efficiency (ηp)</t>
    <phoneticPr fontId="22" type="noConversion"/>
  </si>
  <si>
    <t>Project Cookstove</t>
    <phoneticPr fontId="22" type="noConversion"/>
  </si>
  <si>
    <t xml:space="preserve">Option </t>
    <phoneticPr fontId="22" type="noConversion"/>
  </si>
  <si>
    <t>Yes</t>
    <phoneticPr fontId="22" type="noConversion"/>
  </si>
  <si>
    <t>No</t>
  </si>
  <si>
    <t>No</t>
    <phoneticPr fontId="22" type="noConversion"/>
  </si>
  <si>
    <t xml:space="preserve">Quantity of fire wood consumed in the baseline during year y </t>
    <phoneticPr fontId="22" type="noConversion"/>
  </si>
  <si>
    <t xml:space="preserve">Bb,y </t>
    <phoneticPr fontId="22" type="noConversion"/>
  </si>
  <si>
    <t>Does your project involve distributing new project cook stove type along with fuel switching from NRB to renewable biomass?</t>
    <phoneticPr fontId="22" type="noConversion"/>
  </si>
  <si>
    <t>Number of Stoves (Fuel Switching)</t>
    <phoneticPr fontId="22" type="noConversion"/>
  </si>
  <si>
    <t xml:space="preserve">Cookstove in operation </t>
    <phoneticPr fontId="22" type="noConversion"/>
  </si>
  <si>
    <t>Not Eligible under Microscale Project/Programme Type</t>
    <phoneticPr fontId="22" type="noConversion"/>
  </si>
  <si>
    <t>User defined</t>
  </si>
  <si>
    <t>Fraction of biomass, used in year y for project scenario, which can be established as non- renewable</t>
    <phoneticPr fontId="22" type="noConversion"/>
  </si>
  <si>
    <t xml:space="preserve">Module 1. </t>
    <phoneticPr fontId="22" type="noConversion"/>
  </si>
  <si>
    <t>Select the option.</t>
    <phoneticPr fontId="22" type="noConversion"/>
  </si>
  <si>
    <t>-</t>
    <phoneticPr fontId="22" type="noConversion"/>
  </si>
  <si>
    <t>User Defined Value</t>
    <phoneticPr fontId="22" type="noConversion"/>
  </si>
  <si>
    <t>Do not change the cells in this workbook</t>
    <phoneticPr fontId="22" type="noConversion"/>
  </si>
  <si>
    <r>
      <t xml:space="preserve">If you opted for option </t>
    </r>
    <r>
      <rPr>
        <b/>
        <sz val="12"/>
        <color indexed="8"/>
        <rFont val="Calibri"/>
      </rPr>
      <t>"Survey"</t>
    </r>
    <r>
      <rPr>
        <sz val="12"/>
        <color indexed="8"/>
        <rFont val="Calibri"/>
        <family val="2"/>
      </rPr>
      <t xml:space="preserve"> method, please provide input value otherwise leave it blank.</t>
    </r>
    <phoneticPr fontId="22" type="noConversion"/>
  </si>
  <si>
    <r>
      <t xml:space="preserve">If you opted for option </t>
    </r>
    <r>
      <rPr>
        <b/>
        <sz val="12"/>
        <color indexed="8"/>
        <rFont val="Calibri"/>
      </rPr>
      <t>"historical data"</t>
    </r>
    <r>
      <rPr>
        <sz val="12"/>
        <color indexed="8"/>
        <rFont val="Calibri"/>
        <family val="2"/>
      </rPr>
      <t xml:space="preserve"> in above, please provide input value otherwise leave it blank.</t>
    </r>
    <phoneticPr fontId="22" type="noConversion"/>
  </si>
  <si>
    <t>Discount factor to account for efficiency loss of project cookstove per year of operation</t>
    <phoneticPr fontId="22" type="noConversion"/>
  </si>
  <si>
    <t>Baseline NRB</t>
    <phoneticPr fontId="22" type="noConversion"/>
  </si>
  <si>
    <t>Insert information as required. (White cell)</t>
    <phoneticPr fontId="22" type="noConversion"/>
  </si>
  <si>
    <t>Usage rate</t>
  </si>
  <si>
    <t>Cookstove operational for each age group</t>
  </si>
  <si>
    <t>Yr</t>
  </si>
  <si>
    <t xml:space="preserve">Age Group </t>
  </si>
  <si>
    <t>0_1</t>
  </si>
  <si>
    <t>1_2</t>
  </si>
  <si>
    <t>2_3</t>
  </si>
  <si>
    <t>3_4</t>
  </si>
  <si>
    <t>4_5</t>
  </si>
  <si>
    <t>5_6</t>
  </si>
  <si>
    <t>6_7</t>
  </si>
  <si>
    <t>7_8</t>
  </si>
  <si>
    <t>8_9</t>
  </si>
  <si>
    <t>9_10</t>
  </si>
  <si>
    <t>Age_group</t>
  </si>
  <si>
    <t>Usage Rate</t>
  </si>
  <si>
    <t>Total_ Operational Stove</t>
  </si>
  <si>
    <t>Cookstove in operation_adjusted for usage rate</t>
  </si>
  <si>
    <t>Module -1</t>
  </si>
  <si>
    <t>Module -2</t>
  </si>
  <si>
    <t>*Please insert the value inline with the Useful life of the stove cell "D15".For example If your stove 2 year useful life, insert usage rate only up 1-2 age group only.</t>
  </si>
  <si>
    <t>*Please insert the value inline with the Useful life of the stove cell "D118".For example If your stove has 2 year useful life, insert usage rate only up 1-2 age group only.</t>
  </si>
  <si>
    <t>-</t>
  </si>
  <si>
    <t>Introduction of new efficient cookstoves</t>
  </si>
  <si>
    <t xml:space="preserve">Select the crediting period. </t>
  </si>
  <si>
    <t>Select the option you would like to opt for quantity of baseline fuel i.e., fuelwood.</t>
  </si>
  <si>
    <t>Default_adjusted for efficiency loss</t>
  </si>
  <si>
    <r>
      <t xml:space="preserve">Insert value in column "Usage Rate"i.e., </t>
    </r>
    <r>
      <rPr>
        <i/>
        <sz val="12"/>
        <color indexed="8"/>
        <rFont val="Calibri"/>
      </rPr>
      <t>Installed Cookstove*(1-drop off rate)</t>
    </r>
    <r>
      <rPr>
        <sz val="12"/>
        <color indexed="8"/>
        <rFont val="Calibri"/>
        <family val="2"/>
      </rPr>
      <t xml:space="preserve"> for each age group estimated as per usage survey. You may assume 100% at the time of registration. </t>
    </r>
  </si>
  <si>
    <t xml:space="preserve">If you have selected for "user defined" option for fNRB above, please insert value for "fNRB"in column "User defined" for each year. </t>
  </si>
  <si>
    <t xml:space="preserve">Insert value in column "input value" estimated as per monitoring surveys, otherwise leave it "zero". </t>
  </si>
  <si>
    <t xml:space="preserve">Type of stove in project scenario. If you are replacing the baseline stove too. </t>
  </si>
  <si>
    <t>Insert the number of cookstove switching fuel from NRB to renewable biomass and or replacing the baseline stoves. (Column "No of Stove (Fuel Switching")</t>
  </si>
  <si>
    <t>% fraction in use as compare to baseline year</t>
  </si>
  <si>
    <t>Project NRB approach</t>
  </si>
  <si>
    <t xml:space="preserve">Go Back to "IP worksheet" to make changes in input value. </t>
  </si>
  <si>
    <t>Leakage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</si>
</sst>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"/>
    <numFmt numFmtId="166" formatCode="0.0%"/>
  </numFmts>
  <fonts count="38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vertAlign val="subscript"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</font>
    <font>
      <sz val="8"/>
      <name val="Verdana"/>
    </font>
    <font>
      <u/>
      <sz val="11"/>
      <color indexed="12"/>
      <name val="Calibri"/>
      <family val="2"/>
    </font>
    <font>
      <b/>
      <sz val="12"/>
      <color indexed="8"/>
      <name val="Calibri"/>
    </font>
    <font>
      <sz val="12"/>
      <color indexed="8"/>
      <name val="Calibri"/>
      <family val="2"/>
    </font>
    <font>
      <sz val="12"/>
      <color indexed="9"/>
      <name val="Calibri"/>
    </font>
    <font>
      <b/>
      <sz val="12"/>
      <color indexed="63"/>
      <name val="Calibri"/>
    </font>
    <font>
      <b/>
      <sz val="12"/>
      <color indexed="9"/>
      <name val="Calibri"/>
    </font>
    <font>
      <sz val="12"/>
      <color indexed="60"/>
      <name val="Calibri"/>
    </font>
    <font>
      <b/>
      <sz val="14"/>
      <color indexed="8"/>
      <name val="Calibri"/>
    </font>
    <font>
      <b/>
      <u/>
      <sz val="14"/>
      <color indexed="12"/>
      <name val="Calibri"/>
    </font>
    <font>
      <i/>
      <sz val="12"/>
      <color indexed="8"/>
      <name val="Calibri"/>
    </font>
    <font>
      <sz val="12"/>
      <color indexed="10"/>
      <name val="Calibri"/>
    </font>
    <font>
      <u/>
      <sz val="11"/>
      <color theme="11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</font>
    <font>
      <sz val="11"/>
      <color rgb="FFFF0000"/>
      <name val="Calibri"/>
    </font>
  </fonts>
  <fills count="3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mediumGray">
        <bgColor indexed="37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95">
    <xf numFmtId="0" fontId="0" fillId="0" borderId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8" applyNumberFormat="0" applyAlignment="0" applyProtection="0"/>
    <xf numFmtId="0" fontId="8" fillId="20" borderId="9" applyNumberFormat="0" applyAlignment="0" applyProtection="0"/>
    <xf numFmtId="0" fontId="9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8" applyNumberFormat="0" applyAlignment="0" applyProtection="0"/>
    <xf numFmtId="0" fontId="15" fillId="0" borderId="13" applyNumberFormat="0" applyFill="0" applyAlignment="0" applyProtection="0"/>
    <xf numFmtId="0" fontId="16" fillId="13" borderId="0" applyNumberFormat="0" applyBorder="0" applyAlignment="0" applyProtection="0"/>
    <xf numFmtId="0" fontId="4" fillId="9" borderId="14" applyNumberFormat="0" applyFont="0" applyAlignment="0" applyProtection="0"/>
    <xf numFmtId="0" fontId="17" fillId="7" borderId="15" applyNumberFormat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19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5" borderId="3" xfId="0" applyFill="1" applyBorder="1"/>
    <xf numFmtId="0" fontId="0" fillId="5" borderId="4" xfId="0" applyFill="1" applyBorder="1"/>
    <xf numFmtId="0" fontId="5" fillId="5" borderId="2" xfId="0" applyFont="1" applyFill="1" applyBorder="1"/>
    <xf numFmtId="0" fontId="21" fillId="3" borderId="0" xfId="0" applyFont="1" applyFill="1"/>
    <xf numFmtId="0" fontId="0" fillId="0" borderId="0" xfId="0" applyAlignment="1">
      <alignment wrapText="1"/>
    </xf>
    <xf numFmtId="0" fontId="0" fillId="3" borderId="0" xfId="0" applyFill="1"/>
    <xf numFmtId="0" fontId="20" fillId="3" borderId="0" xfId="0" applyFont="1" applyFill="1"/>
    <xf numFmtId="0" fontId="20" fillId="3" borderId="0" xfId="0" applyFont="1" applyFill="1" applyAlignment="1"/>
    <xf numFmtId="0" fontId="0" fillId="3" borderId="0" xfId="0" applyFill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7" xfId="0" applyFill="1" applyBorder="1" applyAlignment="1">
      <alignment vertical="top" wrapText="1"/>
    </xf>
    <xf numFmtId="0" fontId="0" fillId="3" borderId="7" xfId="0" applyFill="1" applyBorder="1" applyAlignment="1">
      <alignment horizontal="left" vertical="top"/>
    </xf>
    <xf numFmtId="9" fontId="0" fillId="3" borderId="7" xfId="0" applyNumberFormat="1" applyFill="1" applyBorder="1" applyAlignment="1">
      <alignment vertical="top"/>
    </xf>
    <xf numFmtId="0" fontId="0" fillId="3" borderId="7" xfId="0" applyFill="1" applyBorder="1"/>
    <xf numFmtId="9" fontId="0" fillId="3" borderId="7" xfId="39" applyFont="1" applyFill="1" applyBorder="1" applyAlignment="1">
      <alignment horizontal="left" vertical="top"/>
    </xf>
    <xf numFmtId="0" fontId="0" fillId="3" borderId="0" xfId="0" applyFill="1" applyBorder="1"/>
    <xf numFmtId="0" fontId="0" fillId="3" borderId="0" xfId="0" applyFill="1" applyBorder="1" applyAlignment="1">
      <alignment vertical="top"/>
    </xf>
    <xf numFmtId="0" fontId="0" fillId="3" borderId="19" xfId="0" applyFill="1" applyBorder="1" applyAlignment="1">
      <alignment horizontal="left" vertical="top"/>
    </xf>
    <xf numFmtId="0" fontId="0" fillId="3" borderId="19" xfId="0" applyFill="1" applyBorder="1" applyAlignment="1">
      <alignment vertical="top"/>
    </xf>
    <xf numFmtId="0" fontId="0" fillId="3" borderId="0" xfId="0" applyFill="1" applyBorder="1" applyAlignment="1">
      <alignment vertical="top" wrapText="1"/>
    </xf>
    <xf numFmtId="0" fontId="0" fillId="3" borderId="21" xfId="0" applyFill="1" applyBorder="1" applyAlignment="1">
      <alignment vertical="top"/>
    </xf>
    <xf numFmtId="1" fontId="0" fillId="3" borderId="7" xfId="0" applyNumberFormat="1" applyFill="1" applyBorder="1" applyAlignment="1">
      <alignment horizontal="left" vertical="top"/>
    </xf>
    <xf numFmtId="0" fontId="0" fillId="24" borderId="1" xfId="0" applyFill="1" applyBorder="1"/>
    <xf numFmtId="2" fontId="0" fillId="3" borderId="7" xfId="0" applyNumberFormat="1" applyFill="1" applyBorder="1" applyAlignment="1">
      <alignment horizontal="left" vertical="top"/>
    </xf>
    <xf numFmtId="164" fontId="0" fillId="3" borderId="7" xfId="0" applyNumberFormat="1" applyFill="1" applyBorder="1" applyAlignment="1">
      <alignment horizontal="left" vertical="top"/>
    </xf>
    <xf numFmtId="0" fontId="2" fillId="23" borderId="0" xfId="0" applyFont="1" applyFill="1" applyBorder="1" applyAlignment="1">
      <alignment vertical="top"/>
    </xf>
    <xf numFmtId="0" fontId="2" fillId="23" borderId="7" xfId="0" applyFont="1" applyFill="1" applyBorder="1" applyAlignment="1">
      <alignment vertical="top"/>
    </xf>
    <xf numFmtId="0" fontId="2" fillId="23" borderId="19" xfId="0" applyFont="1" applyFill="1" applyBorder="1" applyAlignment="1">
      <alignment vertical="top"/>
    </xf>
    <xf numFmtId="0" fontId="2" fillId="23" borderId="0" xfId="0" applyFont="1" applyFill="1" applyAlignment="1">
      <alignment vertical="top"/>
    </xf>
    <xf numFmtId="0" fontId="2" fillId="23" borderId="7" xfId="0" applyFont="1" applyFill="1" applyBorder="1" applyAlignment="1">
      <alignment horizontal="left" vertical="top"/>
    </xf>
    <xf numFmtId="2" fontId="2" fillId="23" borderId="7" xfId="0" applyNumberFormat="1" applyFont="1" applyFill="1" applyBorder="1" applyAlignment="1">
      <alignment horizontal="left" vertical="top"/>
    </xf>
    <xf numFmtId="2" fontId="0" fillId="3" borderId="7" xfId="0" applyNumberFormat="1" applyFill="1" applyBorder="1" applyAlignment="1">
      <alignment horizontal="left" vertical="top"/>
    </xf>
    <xf numFmtId="0" fontId="0" fillId="3" borderId="21" xfId="0" applyFill="1" applyBorder="1" applyAlignment="1">
      <alignment horizontal="left" vertical="top"/>
    </xf>
    <xf numFmtId="9" fontId="2" fillId="23" borderId="7" xfId="39" applyFont="1" applyFill="1" applyBorder="1" applyAlignment="1">
      <alignment horizontal="left" vertical="top"/>
    </xf>
    <xf numFmtId="0" fontId="2" fillId="5" borderId="19" xfId="0" applyFont="1" applyFill="1" applyBorder="1" applyAlignment="1">
      <alignment vertical="top"/>
    </xf>
    <xf numFmtId="0" fontId="2" fillId="5" borderId="19" xfId="0" applyFont="1" applyFill="1" applyBorder="1" applyAlignment="1">
      <alignment horizontal="left" vertical="top"/>
    </xf>
    <xf numFmtId="0" fontId="2" fillId="5" borderId="20" xfId="0" applyFont="1" applyFill="1" applyBorder="1" applyAlignment="1">
      <alignment horizontal="left" vertical="top"/>
    </xf>
    <xf numFmtId="0" fontId="0" fillId="3" borderId="7" xfId="0" applyFill="1" applyBorder="1" applyAlignment="1">
      <alignment horizontal="left"/>
    </xf>
    <xf numFmtId="0" fontId="2" fillId="5" borderId="21" xfId="0" applyFont="1" applyFill="1" applyBorder="1"/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/>
    <xf numFmtId="1" fontId="2" fillId="5" borderId="7" xfId="0" applyNumberFormat="1" applyFont="1" applyFill="1" applyBorder="1" applyAlignment="1">
      <alignment horizontal="left"/>
    </xf>
    <xf numFmtId="0" fontId="2" fillId="5" borderId="19" xfId="0" applyFont="1" applyFill="1" applyBorder="1"/>
    <xf numFmtId="1" fontId="2" fillId="5" borderId="19" xfId="0" applyNumberFormat="1" applyFont="1" applyFill="1" applyBorder="1" applyAlignment="1">
      <alignment horizontal="left"/>
    </xf>
    <xf numFmtId="9" fontId="0" fillId="3" borderId="7" xfId="0" applyNumberFormat="1" applyFill="1" applyBorder="1" applyAlignment="1">
      <alignment horizontal="left"/>
    </xf>
    <xf numFmtId="0" fontId="8" fillId="23" borderId="0" xfId="0" applyFont="1" applyFill="1"/>
    <xf numFmtId="0" fontId="0" fillId="3" borderId="7" xfId="0" applyFill="1" applyBorder="1" applyAlignment="1">
      <alignment horizontal="right"/>
    </xf>
    <xf numFmtId="2" fontId="0" fillId="3" borderId="7" xfId="0" applyNumberFormat="1" applyFill="1" applyBorder="1" applyAlignment="1">
      <alignment horizontal="left"/>
    </xf>
    <xf numFmtId="0" fontId="23" fillId="3" borderId="7" xfId="43" applyFont="1" applyFill="1" applyBorder="1" applyAlignment="1" applyProtection="1">
      <alignment horizontal="left"/>
    </xf>
    <xf numFmtId="0" fontId="23" fillId="3" borderId="7" xfId="43" applyFill="1" applyBorder="1" applyAlignment="1" applyProtection="1"/>
    <xf numFmtId="0" fontId="0" fillId="6" borderId="7" xfId="0" applyFill="1" applyBorder="1"/>
    <xf numFmtId="0" fontId="0" fillId="5" borderId="0" xfId="0" applyFill="1"/>
    <xf numFmtId="0" fontId="2" fillId="5" borderId="0" xfId="0" applyFont="1" applyFill="1"/>
    <xf numFmtId="1" fontId="0" fillId="3" borderId="7" xfId="0" applyNumberFormat="1" applyFill="1" applyBorder="1" applyAlignment="1">
      <alignment horizontal="left"/>
    </xf>
    <xf numFmtId="0" fontId="1" fillId="3" borderId="0" xfId="0" applyFont="1" applyFill="1"/>
    <xf numFmtId="165" fontId="0" fillId="3" borderId="7" xfId="0" applyNumberFormat="1" applyFill="1" applyBorder="1"/>
    <xf numFmtId="165" fontId="0" fillId="3" borderId="0" xfId="0" applyNumberFormat="1" applyFill="1"/>
    <xf numFmtId="0" fontId="24" fillId="22" borderId="21" xfId="0" applyFont="1" applyFill="1" applyBorder="1"/>
    <xf numFmtId="0" fontId="25" fillId="3" borderId="0" xfId="0" applyFont="1" applyFill="1"/>
    <xf numFmtId="0" fontId="26" fillId="23" borderId="7" xfId="0" applyFont="1" applyFill="1" applyBorder="1"/>
    <xf numFmtId="0" fontId="25" fillId="4" borderId="7" xfId="0" applyFont="1" applyFill="1" applyBorder="1"/>
    <xf numFmtId="0" fontId="25" fillId="3" borderId="7" xfId="0" applyFont="1" applyFill="1" applyBorder="1"/>
    <xf numFmtId="0" fontId="26" fillId="23" borderId="19" xfId="0" applyFont="1" applyFill="1" applyBorder="1"/>
    <xf numFmtId="0" fontId="25" fillId="23" borderId="19" xfId="0" applyFont="1" applyFill="1" applyBorder="1"/>
    <xf numFmtId="0" fontId="25" fillId="3" borderId="19" xfId="0" applyFont="1" applyFill="1" applyBorder="1"/>
    <xf numFmtId="0" fontId="25" fillId="0" borderId="0" xfId="0" applyFont="1" applyFill="1"/>
    <xf numFmtId="0" fontId="25" fillId="4" borderId="7" xfId="0" applyFont="1" applyFill="1" applyBorder="1" applyAlignment="1">
      <alignment horizontal="left"/>
    </xf>
    <xf numFmtId="0" fontId="25" fillId="3" borderId="7" xfId="0" applyFont="1" applyFill="1" applyBorder="1" applyAlignment="1">
      <alignment horizontal="left"/>
    </xf>
    <xf numFmtId="0" fontId="26" fillId="23" borderId="7" xfId="0" applyFont="1" applyFill="1" applyBorder="1" applyAlignment="1">
      <alignment horizontal="left"/>
    </xf>
    <xf numFmtId="0" fontId="26" fillId="23" borderId="19" xfId="0" applyFont="1" applyFill="1" applyBorder="1" applyAlignment="1">
      <alignment horizontal="left"/>
    </xf>
    <xf numFmtId="0" fontId="25" fillId="4" borderId="19" xfId="0" applyFont="1" applyFill="1" applyBorder="1" applyAlignment="1">
      <alignment horizontal="left"/>
    </xf>
    <xf numFmtId="0" fontId="25" fillId="3" borderId="0" xfId="0" applyFont="1" applyFill="1" applyBorder="1" applyAlignment="1">
      <alignment horizontal="left"/>
    </xf>
    <xf numFmtId="0" fontId="24" fillId="22" borderId="7" xfId="0" applyFont="1" applyFill="1" applyBorder="1"/>
    <xf numFmtId="0" fontId="25" fillId="3" borderId="0" xfId="0" applyFont="1" applyFill="1" applyBorder="1"/>
    <xf numFmtId="0" fontId="26" fillId="23" borderId="21" xfId="0" applyFont="1" applyFill="1" applyBorder="1" applyAlignment="1">
      <alignment horizontal="left"/>
    </xf>
    <xf numFmtId="0" fontId="25" fillId="3" borderId="21" xfId="0" applyFont="1" applyFill="1" applyBorder="1" applyAlignment="1">
      <alignment horizontal="left"/>
    </xf>
    <xf numFmtId="0" fontId="26" fillId="23" borderId="7" xfId="0" applyFont="1" applyFill="1" applyBorder="1" applyAlignment="1">
      <alignment horizontal="left" indent="1"/>
    </xf>
    <xf numFmtId="0" fontId="25" fillId="3" borderId="6" xfId="0" applyFont="1" applyFill="1" applyBorder="1"/>
    <xf numFmtId="9" fontId="26" fillId="23" borderId="7" xfId="39" applyFont="1" applyFill="1" applyBorder="1" applyAlignment="1">
      <alignment horizontal="left"/>
    </xf>
    <xf numFmtId="9" fontId="25" fillId="3" borderId="7" xfId="0" applyNumberFormat="1" applyFont="1" applyFill="1" applyBorder="1" applyAlignment="1">
      <alignment horizontal="left"/>
    </xf>
    <xf numFmtId="9" fontId="25" fillId="4" borderId="7" xfId="0" applyNumberFormat="1" applyFont="1" applyFill="1" applyBorder="1" applyAlignment="1">
      <alignment horizontal="left"/>
    </xf>
    <xf numFmtId="9" fontId="26" fillId="23" borderId="7" xfId="0" applyNumberFormat="1" applyFont="1" applyFill="1" applyBorder="1" applyAlignment="1">
      <alignment horizontal="left"/>
    </xf>
    <xf numFmtId="0" fontId="27" fillId="25" borderId="7" xfId="0" applyFont="1" applyFill="1" applyBorder="1"/>
    <xf numFmtId="0" fontId="24" fillId="22" borderId="5" xfId="0" applyFont="1" applyFill="1" applyBorder="1"/>
    <xf numFmtId="0" fontId="25" fillId="22" borderId="6" xfId="0" applyFont="1" applyFill="1" applyBorder="1"/>
    <xf numFmtId="0" fontId="25" fillId="22" borderId="7" xfId="0" applyFont="1" applyFill="1" applyBorder="1"/>
    <xf numFmtId="0" fontId="25" fillId="3" borderId="1" xfId="0" applyFont="1" applyFill="1" applyBorder="1"/>
    <xf numFmtId="0" fontId="26" fillId="23" borderId="1" xfId="0" applyFont="1" applyFill="1" applyBorder="1"/>
    <xf numFmtId="0" fontId="26" fillId="23" borderId="1" xfId="0" applyFont="1" applyFill="1" applyBorder="1" applyAlignment="1">
      <alignment horizontal="left"/>
    </xf>
    <xf numFmtId="1" fontId="26" fillId="23" borderId="1" xfId="0" applyNumberFormat="1" applyFont="1" applyFill="1" applyBorder="1" applyAlignment="1">
      <alignment horizontal="left"/>
    </xf>
    <xf numFmtId="9" fontId="25" fillId="3" borderId="1" xfId="0" applyNumberFormat="1" applyFont="1" applyFill="1" applyBorder="1" applyAlignment="1">
      <alignment horizontal="left"/>
    </xf>
    <xf numFmtId="0" fontId="26" fillId="24" borderId="5" xfId="0" applyFont="1" applyFill="1" applyBorder="1"/>
    <xf numFmtId="0" fontId="26" fillId="24" borderId="6" xfId="0" applyFont="1" applyFill="1" applyBorder="1"/>
    <xf numFmtId="0" fontId="26" fillId="23" borderId="17" xfId="0" applyFont="1" applyFill="1" applyBorder="1"/>
    <xf numFmtId="0" fontId="26" fillId="23" borderId="18" xfId="0" applyFont="1" applyFill="1" applyBorder="1"/>
    <xf numFmtId="9" fontId="25" fillId="3" borderId="0" xfId="0" applyNumberFormat="1" applyFont="1" applyFill="1" applyBorder="1" applyAlignment="1">
      <alignment horizontal="left"/>
    </xf>
    <xf numFmtId="0" fontId="26" fillId="24" borderId="1" xfId="0" applyFont="1" applyFill="1" applyBorder="1"/>
    <xf numFmtId="0" fontId="25" fillId="24" borderId="1" xfId="0" applyFont="1" applyFill="1" applyBorder="1"/>
    <xf numFmtId="9" fontId="26" fillId="23" borderId="1" xfId="39" applyFont="1" applyFill="1" applyBorder="1" applyAlignment="1">
      <alignment horizontal="left"/>
    </xf>
    <xf numFmtId="9" fontId="24" fillId="22" borderId="7" xfId="0" applyNumberFormat="1" applyFont="1" applyFill="1" applyBorder="1" applyAlignment="1">
      <alignment horizontal="left"/>
    </xf>
    <xf numFmtId="0" fontId="26" fillId="5" borderId="0" xfId="0" applyFont="1" applyFill="1"/>
    <xf numFmtId="0" fontId="25" fillId="5" borderId="7" xfId="0" applyFont="1" applyFill="1" applyBorder="1"/>
    <xf numFmtId="0" fontId="25" fillId="4" borderId="0" xfId="0" applyFont="1" applyFill="1"/>
    <xf numFmtId="0" fontId="26" fillId="5" borderId="7" xfId="0" applyFont="1" applyFill="1" applyBorder="1"/>
    <xf numFmtId="10" fontId="26" fillId="5" borderId="7" xfId="39" applyNumberFormat="1" applyFont="1" applyFill="1" applyBorder="1" applyAlignment="1">
      <alignment horizontal="left"/>
    </xf>
    <xf numFmtId="10" fontId="25" fillId="3" borderId="7" xfId="39" applyNumberFormat="1" applyFont="1" applyFill="1" applyBorder="1" applyAlignment="1">
      <alignment horizontal="left"/>
    </xf>
    <xf numFmtId="0" fontId="24" fillId="3" borderId="21" xfId="0" applyFont="1" applyFill="1" applyBorder="1"/>
    <xf numFmtId="0" fontId="25" fillId="4" borderId="6" xfId="0" applyFont="1" applyFill="1" applyBorder="1" applyAlignment="1">
      <alignment horizontal="left"/>
    </xf>
    <xf numFmtId="0" fontId="25" fillId="3" borderId="6" xfId="0" applyFont="1" applyFill="1" applyBorder="1" applyAlignment="1">
      <alignment horizontal="left"/>
    </xf>
    <xf numFmtId="0" fontId="26" fillId="23" borderId="6" xfId="0" applyFont="1" applyFill="1" applyBorder="1" applyAlignment="1">
      <alignment horizontal="left"/>
    </xf>
    <xf numFmtId="0" fontId="24" fillId="22" borderId="0" xfId="0" applyFont="1" applyFill="1" applyBorder="1"/>
    <xf numFmtId="0" fontId="27" fillId="22" borderId="7" xfId="0" applyFont="1" applyFill="1" applyBorder="1"/>
    <xf numFmtId="0" fontId="27" fillId="22" borderId="7" xfId="0" applyFont="1" applyFill="1" applyBorder="1" applyAlignment="1">
      <alignment horizontal="left"/>
    </xf>
    <xf numFmtId="0" fontId="25" fillId="3" borderId="5" xfId="0" applyFont="1" applyFill="1" applyBorder="1"/>
    <xf numFmtId="0" fontId="26" fillId="3" borderId="0" xfId="0" applyFont="1" applyFill="1" applyBorder="1"/>
    <xf numFmtId="0" fontId="25" fillId="3" borderId="19" xfId="0" applyFont="1" applyFill="1" applyBorder="1" applyAlignment="1">
      <alignment vertical="top" wrapText="1"/>
    </xf>
    <xf numFmtId="0" fontId="0" fillId="3" borderId="0" xfId="0" applyFill="1" applyBorder="1" applyAlignment="1">
      <alignment wrapText="1"/>
    </xf>
    <xf numFmtId="0" fontId="0" fillId="3" borderId="21" xfId="0" applyFill="1" applyBorder="1" applyAlignment="1">
      <alignment vertical="top" wrapText="1"/>
    </xf>
    <xf numFmtId="0" fontId="0" fillId="3" borderId="21" xfId="0" applyFill="1" applyBorder="1" applyAlignment="1">
      <alignment wrapText="1"/>
    </xf>
    <xf numFmtId="0" fontId="2" fillId="5" borderId="0" xfId="0" applyFont="1" applyFill="1" applyBorder="1" applyAlignment="1">
      <alignment vertical="top"/>
    </xf>
    <xf numFmtId="0" fontId="2" fillId="5" borderId="0" xfId="0" applyFont="1" applyFill="1" applyBorder="1" applyAlignment="1">
      <alignment horizontal="left" vertical="top"/>
    </xf>
    <xf numFmtId="1" fontId="2" fillId="23" borderId="7" xfId="0" applyNumberFormat="1" applyFont="1" applyFill="1" applyBorder="1" applyAlignment="1">
      <alignment horizontal="left" vertical="top"/>
    </xf>
    <xf numFmtId="0" fontId="26" fillId="3" borderId="0" xfId="0" applyFont="1" applyFill="1"/>
    <xf numFmtId="0" fontId="28" fillId="23" borderId="0" xfId="0" applyFont="1" applyFill="1" applyBorder="1"/>
    <xf numFmtId="0" fontId="28" fillId="23" borderId="0" xfId="0" applyFont="1" applyFill="1"/>
    <xf numFmtId="0" fontId="0" fillId="23" borderId="0" xfId="0" applyFill="1"/>
    <xf numFmtId="0" fontId="25" fillId="4" borderId="1" xfId="0" applyFont="1" applyFill="1" applyBorder="1"/>
    <xf numFmtId="1" fontId="0" fillId="3" borderId="7" xfId="0" applyNumberFormat="1" applyFill="1" applyBorder="1" applyAlignment="1">
      <alignment horizontal="left"/>
    </xf>
    <xf numFmtId="0" fontId="21" fillId="3" borderId="0" xfId="0" applyFont="1" applyFill="1" applyBorder="1"/>
    <xf numFmtId="0" fontId="2" fillId="5" borderId="0" xfId="0" applyFont="1" applyFill="1" applyBorder="1"/>
    <xf numFmtId="1" fontId="2" fillId="5" borderId="0" xfId="0" applyNumberFormat="1" applyFont="1" applyFill="1" applyBorder="1" applyAlignment="1">
      <alignment horizontal="left"/>
    </xf>
    <xf numFmtId="0" fontId="0" fillId="26" borderId="0" xfId="0" applyFill="1"/>
    <xf numFmtId="0" fontId="30" fillId="26" borderId="0" xfId="0" applyFont="1" applyFill="1"/>
    <xf numFmtId="0" fontId="23" fillId="26" borderId="0" xfId="43" applyFill="1" applyAlignment="1" applyProtection="1"/>
    <xf numFmtId="1" fontId="0" fillId="3" borderId="0" xfId="0" applyNumberFormat="1" applyFill="1"/>
    <xf numFmtId="9" fontId="25" fillId="3" borderId="0" xfId="39" applyFont="1" applyFill="1"/>
    <xf numFmtId="10" fontId="25" fillId="3" borderId="0" xfId="39" applyNumberFormat="1" applyFont="1" applyFill="1"/>
    <xf numFmtId="9" fontId="0" fillId="3" borderId="0" xfId="0" applyNumberFormat="1" applyFill="1"/>
    <xf numFmtId="166" fontId="0" fillId="3" borderId="0" xfId="0" applyNumberFormat="1" applyFill="1"/>
    <xf numFmtId="166" fontId="26" fillId="23" borderId="7" xfId="39" applyNumberFormat="1" applyFont="1" applyFill="1" applyBorder="1" applyAlignment="1">
      <alignment horizontal="left"/>
    </xf>
    <xf numFmtId="9" fontId="25" fillId="0" borderId="7" xfId="0" applyNumberFormat="1" applyFont="1" applyFill="1" applyBorder="1"/>
    <xf numFmtId="0" fontId="0" fillId="3" borderId="7" xfId="0" applyFill="1" applyBorder="1" applyAlignment="1">
      <alignment horizontal="center"/>
    </xf>
    <xf numFmtId="0" fontId="26" fillId="23" borderId="21" xfId="0" applyFont="1" applyFill="1" applyBorder="1" applyAlignment="1">
      <alignment horizontal="center"/>
    </xf>
    <xf numFmtId="0" fontId="26" fillId="23" borderId="7" xfId="0" applyFont="1" applyFill="1" applyBorder="1" applyAlignment="1">
      <alignment horizontal="center"/>
    </xf>
    <xf numFmtId="9" fontId="26" fillId="23" borderId="7" xfId="0" applyNumberFormat="1" applyFont="1" applyFill="1" applyBorder="1" applyAlignment="1">
      <alignment horizontal="left"/>
    </xf>
    <xf numFmtId="0" fontId="26" fillId="23" borderId="0" xfId="0" applyFont="1" applyFill="1" applyBorder="1"/>
    <xf numFmtId="0" fontId="26" fillId="0" borderId="0" xfId="0" applyFont="1" applyFill="1" applyBorder="1" applyAlignment="1">
      <alignment horizontal="left"/>
    </xf>
    <xf numFmtId="1" fontId="26" fillId="0" borderId="0" xfId="0" applyNumberFormat="1" applyFont="1" applyFill="1" applyBorder="1" applyAlignment="1">
      <alignment horizontal="left"/>
    </xf>
    <xf numFmtId="9" fontId="25" fillId="0" borderId="0" xfId="0" applyNumberFormat="1" applyFont="1" applyFill="1" applyBorder="1" applyAlignment="1">
      <alignment horizontal="left"/>
    </xf>
    <xf numFmtId="0" fontId="25" fillId="0" borderId="0" xfId="0" applyFont="1" applyFill="1" applyBorder="1"/>
    <xf numFmtId="9" fontId="2" fillId="23" borderId="7" xfId="39" applyNumberFormat="1" applyFont="1" applyFill="1" applyBorder="1" applyAlignment="1">
      <alignment horizontal="left" vertical="top"/>
    </xf>
    <xf numFmtId="9" fontId="0" fillId="3" borderId="7" xfId="39" applyNumberFormat="1" applyFont="1" applyFill="1" applyBorder="1" applyAlignment="1">
      <alignment horizontal="left" vertical="top"/>
    </xf>
    <xf numFmtId="0" fontId="2" fillId="3" borderId="7" xfId="0" applyFont="1" applyFill="1" applyBorder="1" applyAlignment="1">
      <alignment vertical="top"/>
    </xf>
    <xf numFmtId="9" fontId="33" fillId="4" borderId="7" xfId="0" applyNumberFormat="1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left" vertical="center"/>
    </xf>
    <xf numFmtId="0" fontId="31" fillId="27" borderId="1" xfId="43" applyFont="1" applyFill="1" applyBorder="1" applyAlignment="1" applyProtection="1"/>
    <xf numFmtId="0" fontId="29" fillId="27" borderId="6" xfId="0" applyFont="1" applyFill="1" applyBorder="1"/>
    <xf numFmtId="164" fontId="0" fillId="3" borderId="7" xfId="0" applyNumberFormat="1" applyFill="1" applyBorder="1" applyAlignment="1">
      <alignment horizontal="left" vertical="top"/>
    </xf>
    <xf numFmtId="1" fontId="4" fillId="3" borderId="7" xfId="0" applyNumberFormat="1" applyFont="1" applyFill="1" applyBorder="1" applyAlignment="1">
      <alignment horizontal="left" vertical="top"/>
    </xf>
    <xf numFmtId="1" fontId="0" fillId="3" borderId="7" xfId="0" applyNumberFormat="1" applyFill="1" applyBorder="1" applyAlignment="1">
      <alignment horizontal="left"/>
    </xf>
    <xf numFmtId="0" fontId="4" fillId="28" borderId="1" xfId="0" applyFont="1" applyFill="1" applyBorder="1"/>
    <xf numFmtId="1" fontId="0" fillId="3" borderId="7" xfId="0" applyNumberFormat="1" applyFill="1" applyBorder="1" applyAlignment="1">
      <alignment horizontal="left"/>
    </xf>
    <xf numFmtId="1" fontId="2" fillId="23" borderId="7" xfId="0" applyNumberFormat="1" applyFont="1" applyFill="1" applyBorder="1" applyAlignment="1">
      <alignment horizontal="left" vertical="top"/>
    </xf>
    <xf numFmtId="1" fontId="0" fillId="3" borderId="7" xfId="0" applyNumberFormat="1" applyFill="1" applyBorder="1" applyAlignment="1">
      <alignment horizontal="left" vertical="top"/>
    </xf>
    <xf numFmtId="0" fontId="0" fillId="3" borderId="0" xfId="0" applyFill="1" applyAlignment="1">
      <alignment horizontal="left"/>
    </xf>
    <xf numFmtId="9" fontId="35" fillId="29" borderId="1" xfId="0" applyNumberFormat="1" applyFont="1" applyFill="1" applyBorder="1" applyAlignment="1">
      <alignment horizontal="left"/>
    </xf>
    <xf numFmtId="9" fontId="35" fillId="29" borderId="22" xfId="0" applyNumberFormat="1" applyFont="1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9" fontId="0" fillId="3" borderId="1" xfId="0" applyNumberForma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0" fontId="36" fillId="3" borderId="7" xfId="0" applyFont="1" applyFill="1" applyBorder="1"/>
    <xf numFmtId="0" fontId="26" fillId="23" borderId="21" xfId="0" applyFont="1" applyFill="1" applyBorder="1" applyAlignment="1" applyProtection="1">
      <alignment horizontal="left"/>
    </xf>
    <xf numFmtId="0" fontId="26" fillId="23" borderId="7" xfId="0" applyFont="1" applyFill="1" applyBorder="1" applyAlignment="1" applyProtection="1">
      <alignment horizontal="left"/>
    </xf>
    <xf numFmtId="0" fontId="26" fillId="23" borderId="6" xfId="0" applyFont="1" applyFill="1" applyBorder="1" applyAlignment="1" applyProtection="1">
      <alignment horizontal="left"/>
    </xf>
    <xf numFmtId="1" fontId="2" fillId="5" borderId="2" xfId="0" applyNumberFormat="1" applyFont="1" applyFill="1" applyBorder="1" applyAlignment="1">
      <alignment horizontal="center"/>
    </xf>
    <xf numFmtId="1" fontId="2" fillId="5" borderId="4" xfId="0" applyNumberFormat="1" applyFont="1" applyFill="1" applyBorder="1" applyAlignment="1">
      <alignment horizontal="center"/>
    </xf>
    <xf numFmtId="0" fontId="5" fillId="5" borderId="2" xfId="0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0" fontId="25" fillId="3" borderId="7" xfId="0" applyFon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25" fillId="3" borderId="5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33" fillId="3" borderId="5" xfId="0" applyFont="1" applyFill="1" applyBorder="1" applyAlignment="1">
      <alignment wrapText="1"/>
    </xf>
    <xf numFmtId="0" fontId="0" fillId="0" borderId="6" xfId="0" applyBorder="1" applyAlignment="1"/>
    <xf numFmtId="0" fontId="36" fillId="3" borderId="23" xfId="0" applyFont="1" applyFill="1" applyBorder="1" applyAlignment="1">
      <alignment wrapText="1"/>
    </xf>
    <xf numFmtId="0" fontId="37" fillId="0" borderId="24" xfId="0" applyFont="1" applyBorder="1" applyAlignment="1">
      <alignment wrapText="1"/>
    </xf>
  </cellXfs>
  <cellStyles count="9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Good" xfId="29" xr:uid="{00000000-0005-0000-0000-00004F000000}"/>
    <cellStyle name="Heading 1" xfId="30" xr:uid="{00000000-0005-0000-0000-000050000000}"/>
    <cellStyle name="Heading 2" xfId="31" xr:uid="{00000000-0005-0000-0000-000051000000}"/>
    <cellStyle name="Heading 3" xfId="32" xr:uid="{00000000-0005-0000-0000-000052000000}"/>
    <cellStyle name="Heading 4" xfId="33" xr:uid="{00000000-0005-0000-0000-000053000000}"/>
    <cellStyle name="Hyperlink" xfId="43" builtinId="8"/>
    <cellStyle name="Input" xfId="34" xr:uid="{00000000-0005-0000-0000-000055000000}"/>
    <cellStyle name="Linked Cell" xfId="35" xr:uid="{00000000-0005-0000-0000-000056000000}"/>
    <cellStyle name="Neutral" xfId="36" xr:uid="{00000000-0005-0000-0000-000057000000}"/>
    <cellStyle name="Normal" xfId="0" builtinId="0"/>
    <cellStyle name="Note" xfId="37" xr:uid="{00000000-0005-0000-0000-000059000000}"/>
    <cellStyle name="Output" xfId="38" xr:uid="{00000000-0005-0000-0000-00005A000000}"/>
    <cellStyle name="Percent" xfId="39" builtinId="5"/>
    <cellStyle name="Title" xfId="40" xr:uid="{00000000-0005-0000-0000-00005C000000}"/>
    <cellStyle name="Total" xfId="41" xr:uid="{00000000-0005-0000-0000-00005D000000}"/>
    <cellStyle name="Warning Text" xfId="42" xr:uid="{00000000-0005-0000-0000-00005E000000}"/>
  </cellStyles>
  <dxfs count="12">
    <dxf>
      <fill>
        <patternFill patternType="mediumGray">
          <bgColor indexed="3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1"/>
        </patternFill>
      </fill>
    </dxf>
    <dxf>
      <font>
        <color theme="1"/>
      </font>
      <fill>
        <patternFill patternType="solid">
          <fgColor indexed="64"/>
          <bgColor theme="1"/>
        </patternFill>
      </fill>
    </dxf>
    <dxf>
      <font>
        <color auto="1"/>
      </font>
      <fill>
        <patternFill patternType="solid">
          <fgColor indexed="64"/>
          <bgColor theme="1"/>
        </patternFill>
      </fill>
    </dxf>
    <dxf>
      <font>
        <color auto="1"/>
      </font>
      <fill>
        <patternFill patternType="solid">
          <fgColor indexed="64"/>
          <bgColor theme="1"/>
        </patternFill>
      </fill>
    </dxf>
    <dxf>
      <font>
        <color auto="1"/>
      </font>
      <fill>
        <patternFill patternType="solid">
          <fgColor indexed="64"/>
          <bgColor theme="1"/>
        </patternFill>
      </fill>
    </dxf>
    <dxf>
      <font>
        <color theme="1"/>
      </font>
      <fill>
        <patternFill patternType="solid">
          <fgColor indexed="64"/>
          <bgColor theme="1"/>
        </patternFill>
      </fill>
    </dxf>
    <dxf>
      <font>
        <color auto="1"/>
      </font>
      <fill>
        <patternFill patternType="solid">
          <fgColor indexed="64"/>
          <bgColor theme="1"/>
        </patternFill>
      </fill>
    </dxf>
    <dxf>
      <font>
        <color theme="1"/>
      </font>
      <fill>
        <patternFill patternType="solid">
          <fgColor indexed="64"/>
          <bgColor theme="1"/>
        </patternFill>
      </fill>
    </dxf>
    <dxf>
      <fill>
        <patternFill patternType="lightGray">
          <bgColor indexed="2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8"/>
      </font>
      <fill>
        <patternFill patternType="mediumGray">
          <bgColor indexed="2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mediumGray">
          <bgColor indexed="2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76200</xdr:rowOff>
    </xdr:from>
    <xdr:to>
      <xdr:col>5</xdr:col>
      <xdr:colOff>190500</xdr:colOff>
      <xdr:row>4</xdr:row>
      <xdr:rowOff>0</xdr:rowOff>
    </xdr:to>
    <xdr:pic>
      <xdr:nvPicPr>
        <xdr:cNvPr id="1846" name="rg_hi" descr="http://t2.gstatic.com/images?q=tbn:ANd9GcRbJehp_I4KRVAEllHIFwBbeGcSiWJpZW6strdT7QKixbypKjVQnA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21591"/>
        <a:stretch>
          <a:fillRect/>
        </a:stretch>
      </xdr:blipFill>
      <xdr:spPr bwMode="auto">
        <a:xfrm>
          <a:off x="1397000" y="254000"/>
          <a:ext cx="22860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4</xdr:col>
      <xdr:colOff>508000</xdr:colOff>
      <xdr:row>9</xdr:row>
      <xdr:rowOff>114300</xdr:rowOff>
    </xdr:to>
    <xdr:sp macro="" textlink="">
      <xdr:nvSpPr>
        <xdr:cNvPr id="1850" name="AutoShape 60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rrowheads="1"/>
        </xdr:cNvSpPr>
      </xdr:nvSpPr>
      <xdr:spPr bwMode="auto">
        <a:xfrm>
          <a:off x="1397000" y="1244600"/>
          <a:ext cx="1905000" cy="469900"/>
        </a:xfrm>
        <a:prstGeom prst="homePlate">
          <a:avLst>
            <a:gd name="adj" fmla="val 51333"/>
          </a:avLst>
        </a:prstGeom>
        <a:solidFill>
          <a:srgbClr val="B9CDE5"/>
        </a:solidFill>
        <a:ln w="9525">
          <a:noFill/>
          <a:miter lim="800000"/>
          <a:headEnd/>
          <a:tailEnd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 editAs="oneCell">
    <xdr:from>
      <xdr:col>2</xdr:col>
      <xdr:colOff>173757</xdr:colOff>
      <xdr:row>7</xdr:row>
      <xdr:rowOff>28589</xdr:rowOff>
    </xdr:from>
    <xdr:to>
      <xdr:col>4</xdr:col>
      <xdr:colOff>21152</xdr:colOff>
      <xdr:row>9</xdr:row>
      <xdr:rowOff>35130</xdr:rowOff>
    </xdr:to>
    <xdr:sp macro="" textlink="">
      <xdr:nvSpPr>
        <xdr:cNvPr id="10" name="Text Box 6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367557" y="1362089"/>
          <a:ext cx="1091991" cy="38754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txBody>
        <a:bodyPr vertOverflow="clip" wrap="square" lIns="54864" tIns="50292" rIns="0" bIns="0" anchor="ctr" upright="1"/>
        <a:lstStyle/>
        <a:p>
          <a:pPr algn="ctr" rtl="0">
            <a:defRPr sz="1000"/>
          </a:pPr>
          <a:r>
            <a:rPr lang="en-US" sz="1600" b="0" i="0" strike="noStrike">
              <a:solidFill>
                <a:srgbClr val="FFFFFF"/>
              </a:solidFill>
              <a:latin typeface="Calibri"/>
              <a:ea typeface="Calibri"/>
              <a:cs typeface="Calibri"/>
            </a:rPr>
            <a:t>Introduction</a:t>
          </a:r>
        </a:p>
      </xdr:txBody>
    </xdr:sp>
    <xdr:clientData/>
  </xdr:twoCellAnchor>
  <xdr:twoCellAnchor editAs="oneCell">
    <xdr:from>
      <xdr:col>6</xdr:col>
      <xdr:colOff>0</xdr:colOff>
      <xdr:row>1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657600" y="190500"/>
          <a:ext cx="7924800" cy="952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Emissions Reduction Calculation Tool for the </a:t>
          </a:r>
          <a:r>
            <a:rPr lang="en-US" sz="1600" b="1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"Simplified Methodology for Efficient Cookstoves" version 2.1</a:t>
          </a:r>
        </a:p>
        <a:p>
          <a:pPr algn="l" rtl="0">
            <a:defRPr sz="1000"/>
          </a:pPr>
          <a:endParaRPr lang="en-US" sz="1600" b="1" i="0" strike="noStrike">
            <a:solidFill>
              <a:srgbClr val="000000"/>
            </a:solidFill>
            <a:latin typeface="+mn-lt"/>
            <a:ea typeface="Calibri"/>
            <a:cs typeface="Calibri"/>
          </a:endParaRPr>
        </a:p>
      </xdr:txBody>
    </xdr:sp>
    <xdr:clientData/>
  </xdr:twoCellAnchor>
  <xdr:twoCellAnchor editAs="oneCell">
    <xdr:from>
      <xdr:col>6</xdr:col>
      <xdr:colOff>44450</xdr:colOff>
      <xdr:row>6</xdr:row>
      <xdr:rowOff>156887</xdr:rowOff>
    </xdr:from>
    <xdr:to>
      <xdr:col>19</xdr:col>
      <xdr:colOff>298450</xdr:colOff>
      <xdr:row>17</xdr:row>
      <xdr:rowOff>25400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235450" y="1223687"/>
          <a:ext cx="9334500" cy="18243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This calculation tool is based on the  "Simplified Methodology for Efficient Cookstoves" . The emission reductions calculated on the basis of this tool  can be used in Project Design Documents (PDDs).</a:t>
          </a:r>
          <a:r>
            <a:rPr lang="en-US" sz="1100" b="0" i="0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 </a:t>
          </a:r>
          <a:r>
            <a:rPr lang="en-US" sz="1100" b="0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This tool allows to estimate emission reductions potential for following two modules;</a:t>
          </a:r>
        </a:p>
        <a:p>
          <a:pPr algn="l" rtl="0">
            <a:defRPr sz="1000"/>
          </a:pPr>
          <a:r>
            <a:rPr lang="en-US" sz="1100" b="0" i="1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Module 1.0 Introduction of new efficient cookstoves</a:t>
          </a:r>
        </a:p>
        <a:p>
          <a:pPr algn="l" rtl="0">
            <a:defRPr sz="1000"/>
          </a:pPr>
          <a:r>
            <a:rPr lang="en-US" sz="1100" b="0" i="1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Module 2.0 Fuel Switch from Non renewable to renewable fuel with or without replacing baseline stove with new</a:t>
          </a:r>
          <a:r>
            <a:rPr lang="en-US" sz="1100" b="0" i="1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 efficient cookstoves</a:t>
          </a: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The tool consists of following worksheets.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IP	Input data sheet		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Cal	Calculation sheet		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ER	Emission reduction Summary sheet		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BG	Background information sheet	</a:t>
          </a: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			</a:t>
          </a:r>
          <a:endParaRPr lang="en-US" sz="1100" b="0" i="0" strike="noStrike">
            <a:solidFill>
              <a:srgbClr val="DD0806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           </a:t>
          </a:r>
        </a:p>
      </xdr:txBody>
    </xdr:sp>
    <xdr:clientData/>
  </xdr:twoCellAnchor>
  <xdr:twoCellAnchor editAs="oneCell">
    <xdr:from>
      <xdr:col>6</xdr:col>
      <xdr:colOff>38100</xdr:colOff>
      <xdr:row>19</xdr:row>
      <xdr:rowOff>25401</xdr:rowOff>
    </xdr:from>
    <xdr:to>
      <xdr:col>19</xdr:col>
      <xdr:colOff>304800</xdr:colOff>
      <xdr:row>28</xdr:row>
      <xdr:rowOff>50800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229100" y="3403601"/>
          <a:ext cx="9347200" cy="16255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 rtl="0">
            <a:defRPr sz="1000"/>
          </a:pPr>
          <a:r>
            <a:rPr lang="en-US" sz="1100" b="1" i="0" strike="noStrike">
              <a:solidFill>
                <a:srgbClr val="33CCCC"/>
              </a:solidFill>
              <a:latin typeface="Calibri"/>
              <a:ea typeface="Calibri"/>
              <a:cs typeface="Calibri"/>
            </a:rPr>
            <a:t>How to use this tool ?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Step 1.</a:t>
          </a:r>
          <a:r>
            <a:rPr lang="en-US" sz="1100" b="0" i="0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 Be familiar with the Key on "IP" worksheet to provide input data/ information. </a:t>
          </a: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Step 2. </a:t>
          </a:r>
          <a:r>
            <a:rPr lang="en-US" sz="1100" b="0" i="0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Click on "+" sign on extreme left side of the selected module on "IP" worksheet. </a:t>
          </a:r>
        </a:p>
        <a:p>
          <a:pPr algn="l" rtl="0">
            <a:defRPr sz="1000"/>
          </a:pPr>
          <a:endParaRPr lang="en-US" sz="1100" b="0" i="0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Step 3. Follow the  Guidance notes "IP" worksheet to provide the information required.</a:t>
          </a:r>
        </a:p>
        <a:p>
          <a:pPr algn="l" rtl="0">
            <a:defRPr sz="1000"/>
          </a:pPr>
          <a:endParaRPr lang="en-US" sz="1100" b="0" i="0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Step 4. Go to "ER" worksheet to look at the emission reduction summary or the table below.</a:t>
          </a:r>
        </a:p>
        <a:p>
          <a:pPr algn="l" rtl="0">
            <a:defRPr sz="1000"/>
          </a:pPr>
          <a:r>
            <a:rPr lang="en-US" sz="1100" b="0" i="0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 	</a:t>
          </a: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			</a:t>
          </a:r>
          <a:endParaRPr lang="en-US" sz="1100" b="0" i="0" strike="noStrike">
            <a:solidFill>
              <a:srgbClr val="DD0806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           </a:t>
          </a:r>
        </a:p>
      </xdr:txBody>
    </xdr:sp>
    <xdr:clientData/>
  </xdr:twoCellAnchor>
  <xdr:twoCellAnchor>
    <xdr:from>
      <xdr:col>2</xdr:col>
      <xdr:colOff>0</xdr:colOff>
      <xdr:row>19</xdr:row>
      <xdr:rowOff>88900</xdr:rowOff>
    </xdr:from>
    <xdr:to>
      <xdr:col>5</xdr:col>
      <xdr:colOff>12700</xdr:colOff>
      <xdr:row>22</xdr:row>
      <xdr:rowOff>25400</xdr:rowOff>
    </xdr:to>
    <xdr:sp macro="" textlink="">
      <xdr:nvSpPr>
        <xdr:cNvPr id="21" name="AutoShape 6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1397000" y="3467100"/>
          <a:ext cx="2108200" cy="469900"/>
        </a:xfrm>
        <a:prstGeom prst="homePlate">
          <a:avLst>
            <a:gd name="adj" fmla="val 51333"/>
          </a:avLst>
        </a:prstGeom>
        <a:solidFill>
          <a:srgbClr val="B9CDE5"/>
        </a:solidFill>
        <a:ln w="9525">
          <a:noFill/>
          <a:miter lim="800000"/>
          <a:headEnd/>
          <a:tailEnd/>
        </a:ln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173757</xdr:colOff>
      <xdr:row>19</xdr:row>
      <xdr:rowOff>117489</xdr:rowOff>
    </xdr:from>
    <xdr:to>
      <xdr:col>4</xdr:col>
      <xdr:colOff>381000</xdr:colOff>
      <xdr:row>21</xdr:row>
      <xdr:rowOff>124030</xdr:rowOff>
    </xdr:to>
    <xdr:sp macro="" textlink="">
      <xdr:nvSpPr>
        <xdr:cNvPr id="22" name="Text Box 6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570757" y="3495689"/>
          <a:ext cx="1604243" cy="36214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txBody>
        <a:bodyPr wrap="square" lIns="54864" tIns="50292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sz="1600" b="0" i="0" strike="noStrike">
              <a:solidFill>
                <a:srgbClr val="FFFFFF"/>
              </a:solidFill>
              <a:latin typeface="Calibri"/>
              <a:ea typeface="Calibri"/>
              <a:cs typeface="Calibri"/>
            </a:rPr>
            <a:t>How to use</a:t>
          </a:r>
          <a:r>
            <a:rPr lang="en-US" sz="1600" b="0" i="0" strike="noStrike" baseline="0">
              <a:solidFill>
                <a:srgbClr val="FFFFFF"/>
              </a:solidFill>
              <a:latin typeface="Calibri"/>
              <a:ea typeface="Calibri"/>
              <a:cs typeface="Calibri"/>
            </a:rPr>
            <a:t> it?</a:t>
          </a:r>
          <a:endParaRPr lang="en-US" sz="1600" b="0" i="0" strike="noStrike">
            <a:solidFill>
              <a:srgbClr val="FFFFFF"/>
            </a:solidFill>
            <a:latin typeface="Calibri"/>
            <a:ea typeface="Calibri"/>
            <a:cs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4</xdr:row>
          <xdr:rowOff>0</xdr:rowOff>
        </xdr:from>
        <xdr:to>
          <xdr:col>2</xdr:col>
          <xdr:colOff>5090160</xdr:colOff>
          <xdr:row>5</xdr:row>
          <xdr:rowOff>137160</xdr:rowOff>
        </xdr:to>
        <xdr:sp macro="" textlink="">
          <xdr:nvSpPr>
            <xdr:cNvPr id="11267" name="Object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2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270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pcc.ch/publications_and_data/ar4/wg1/en/ch2s2-10-2.html" TargetMode="External"/><Relationship Id="rId2" Type="http://schemas.openxmlformats.org/officeDocument/2006/relationships/hyperlink" Target="http://www.ipcc-nggip.iges.or.jp/public/2006gl/pdf/2_Volume2/V2_1_Ch1_Introduction.pdf" TargetMode="External"/><Relationship Id="rId1" Type="http://schemas.openxmlformats.org/officeDocument/2006/relationships/hyperlink" Target="http://www.ipcc-nggip.iges.or.jp/public/2006gl/pdf/2_Volume2/V2_1_Ch1_Introduction.pdf" TargetMode="External"/><Relationship Id="rId6" Type="http://schemas.openxmlformats.org/officeDocument/2006/relationships/hyperlink" Target="http://www.ipcc.ch/publications_and_data/ar4/wg1/en/ch2s2-10-2.html" TargetMode="External"/><Relationship Id="rId5" Type="http://schemas.openxmlformats.org/officeDocument/2006/relationships/hyperlink" Target="http://www.ipcc.ch/publications_and_data/ar4/wg1/en/ch2s2-10-2.html" TargetMode="External"/><Relationship Id="rId4" Type="http://schemas.openxmlformats.org/officeDocument/2006/relationships/hyperlink" Target="http://www.ipcc.ch/publications_and_data/ar4/wg1/en/ch2s2-10-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53"/>
  <sheetViews>
    <sheetView topLeftCell="A26" workbookViewId="0">
      <selection activeCell="D28" sqref="D28"/>
    </sheetView>
  </sheetViews>
  <sheetFormatPr defaultColWidth="0" defaultRowHeight="14.4" zeroHeight="1"/>
  <cols>
    <col min="1" max="20" width="9.109375" customWidth="1"/>
    <col min="21" max="21" width="23.6640625" style="3" customWidth="1"/>
    <col min="22" max="26" width="0" hidden="1" customWidth="1"/>
  </cols>
  <sheetData>
    <row r="1" spans="1:2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</row>
    <row r="2" spans="1:2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"/>
    </row>
    <row r="3" spans="1:2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"/>
    </row>
    <row r="4" spans="1:2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1"/>
    </row>
    <row r="5" spans="1:2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"/>
    </row>
    <row r="6" spans="1:2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"/>
    </row>
    <row r="8" spans="1:21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"/>
    </row>
    <row r="9" spans="1:21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"/>
    </row>
    <row r="10" spans="1:21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"/>
    </row>
    <row r="11" spans="1:2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"/>
    </row>
    <row r="12" spans="1:21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"/>
    </row>
    <row r="13" spans="1:21">
      <c r="A13" s="1"/>
      <c r="B13" s="2"/>
      <c r="C13" s="2"/>
      <c r="D13" s="2"/>
      <c r="E13" s="2"/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2"/>
      <c r="Q13" s="2"/>
      <c r="R13" s="2"/>
      <c r="S13" s="2"/>
      <c r="T13" s="2"/>
      <c r="U13" s="1"/>
    </row>
    <row r="14" spans="1:21">
      <c r="A14" s="1"/>
      <c r="B14" s="2"/>
      <c r="C14" s="2"/>
      <c r="D14" s="2"/>
      <c r="E14" s="2"/>
      <c r="F14" s="2"/>
      <c r="G14" s="10"/>
      <c r="H14" s="10"/>
      <c r="I14" s="10"/>
      <c r="J14" s="10"/>
      <c r="K14" s="10"/>
      <c r="L14" s="10"/>
      <c r="M14" s="10"/>
      <c r="N14" s="10"/>
      <c r="O14" s="10"/>
      <c r="P14" s="2"/>
      <c r="Q14" s="2"/>
      <c r="R14" s="2"/>
      <c r="S14" s="2"/>
      <c r="T14" s="2"/>
      <c r="U14" s="1"/>
    </row>
    <row r="15" spans="1:21">
      <c r="A15" s="1"/>
      <c r="B15" s="2"/>
      <c r="C15" s="2"/>
      <c r="D15" s="2"/>
      <c r="E15" s="2"/>
      <c r="F15" s="2"/>
      <c r="G15" s="10"/>
      <c r="H15" s="10"/>
      <c r="I15" s="10"/>
      <c r="J15" s="10"/>
      <c r="K15" s="10"/>
      <c r="L15" s="10"/>
      <c r="M15" s="10"/>
      <c r="N15" s="10"/>
      <c r="O15" s="10"/>
      <c r="P15" s="2"/>
      <c r="Q15" s="2"/>
      <c r="R15" s="2"/>
      <c r="S15" s="2"/>
      <c r="T15" s="2"/>
      <c r="U15" s="1"/>
    </row>
    <row r="16" spans="1:21">
      <c r="A16" s="1"/>
      <c r="B16" s="2"/>
      <c r="C16" s="2"/>
      <c r="D16" s="2"/>
      <c r="E16" s="2"/>
      <c r="F16" s="2"/>
      <c r="G16" s="10"/>
      <c r="H16" s="10"/>
      <c r="I16" s="10"/>
      <c r="J16" s="10"/>
      <c r="K16" s="10"/>
      <c r="L16" s="10"/>
      <c r="M16" s="10"/>
      <c r="N16" s="10"/>
      <c r="O16" s="10"/>
      <c r="P16" s="2"/>
      <c r="Q16" s="2"/>
      <c r="R16" s="2"/>
      <c r="S16" s="2"/>
      <c r="T16" s="2"/>
      <c r="U16" s="1"/>
    </row>
    <row r="17" spans="1:21">
      <c r="A17" s="1"/>
      <c r="B17" s="2"/>
      <c r="C17" s="2"/>
      <c r="D17" s="2"/>
      <c r="E17" s="2"/>
      <c r="F17" s="2"/>
      <c r="G17" s="10"/>
      <c r="H17" s="10"/>
      <c r="I17" s="11"/>
      <c r="J17" s="10"/>
      <c r="K17" s="10"/>
      <c r="L17" s="10"/>
      <c r="M17" s="10"/>
      <c r="N17" s="10"/>
      <c r="O17" s="10"/>
      <c r="P17" s="2"/>
      <c r="Q17" s="2"/>
      <c r="R17" s="2"/>
      <c r="S17" s="2"/>
      <c r="T17" s="2"/>
      <c r="U17" s="1"/>
    </row>
    <row r="18" spans="1:21">
      <c r="A18" s="1"/>
      <c r="B18" s="2"/>
      <c r="C18" s="2"/>
      <c r="D18" s="2"/>
      <c r="E18" s="2"/>
      <c r="F18" s="2"/>
      <c r="G18" s="10"/>
      <c r="H18" s="10"/>
      <c r="I18" s="10"/>
      <c r="J18" s="10"/>
      <c r="K18" s="10"/>
      <c r="L18" s="10"/>
      <c r="M18" s="10"/>
      <c r="N18" s="10"/>
      <c r="O18" s="10"/>
      <c r="P18" s="2"/>
      <c r="Q18" s="2"/>
      <c r="R18" s="2"/>
      <c r="S18" s="2"/>
      <c r="T18" s="2"/>
      <c r="U18" s="1"/>
    </row>
    <row r="19" spans="1:21">
      <c r="A19" s="1"/>
      <c r="B19" s="2"/>
      <c r="C19" s="2"/>
      <c r="D19" s="2"/>
      <c r="E19" s="2"/>
      <c r="F19" s="2"/>
      <c r="G19" s="10"/>
      <c r="H19" s="10"/>
      <c r="I19" s="10"/>
      <c r="J19" s="10"/>
      <c r="K19" s="10"/>
      <c r="L19" s="10"/>
      <c r="M19" s="10"/>
      <c r="N19" s="10"/>
      <c r="O19" s="10"/>
      <c r="P19" s="2"/>
      <c r="Q19" s="2"/>
      <c r="R19" s="2"/>
      <c r="S19" s="2"/>
      <c r="T19" s="2"/>
      <c r="U19" s="1"/>
    </row>
    <row r="20" spans="1:21">
      <c r="A20" s="1"/>
      <c r="B20" s="2"/>
      <c r="C20" s="2"/>
      <c r="D20" s="2"/>
      <c r="E20" s="2"/>
      <c r="F20" s="2"/>
      <c r="G20" s="10"/>
      <c r="H20" s="10"/>
      <c r="I20" s="10"/>
      <c r="J20" s="10"/>
      <c r="K20" s="10"/>
      <c r="L20" s="10"/>
      <c r="M20" s="10"/>
      <c r="N20" s="10"/>
      <c r="O20" s="10"/>
      <c r="P20" s="2"/>
      <c r="Q20" s="2"/>
      <c r="R20" s="2"/>
      <c r="S20" s="2"/>
      <c r="T20" s="2"/>
      <c r="U20" s="1"/>
    </row>
    <row r="21" spans="1:21">
      <c r="A21" s="1"/>
      <c r="B21" s="2"/>
      <c r="C21" s="2"/>
      <c r="D21" s="2"/>
      <c r="E21" s="2"/>
      <c r="F21" s="2"/>
      <c r="G21" s="10"/>
      <c r="H21" s="10"/>
      <c r="I21" s="10"/>
      <c r="J21" s="10"/>
      <c r="K21" s="10"/>
      <c r="L21" s="10"/>
      <c r="M21" s="10"/>
      <c r="N21" s="10"/>
      <c r="O21" s="10"/>
      <c r="P21" s="2"/>
      <c r="Q21" s="2"/>
      <c r="R21" s="2"/>
      <c r="S21" s="2"/>
      <c r="T21" s="2"/>
      <c r="U21" s="1"/>
    </row>
    <row r="22" spans="1:2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1"/>
    </row>
    <row r="23" spans="1:2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1"/>
    </row>
    <row r="24" spans="1:2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1"/>
    </row>
    <row r="25" spans="1:2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1"/>
    </row>
    <row r="26" spans="1:2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1"/>
    </row>
    <row r="27" spans="1:21">
      <c r="A27" s="1"/>
      <c r="B27" s="2"/>
      <c r="C27" s="2"/>
      <c r="D27" s="2"/>
      <c r="E27" s="2"/>
      <c r="F27" s="2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2"/>
      <c r="S27" s="2"/>
      <c r="T27" s="2"/>
      <c r="U27" s="1"/>
    </row>
    <row r="28" spans="1:21">
      <c r="A28" s="1"/>
      <c r="B28" s="2"/>
      <c r="C28" s="2"/>
      <c r="D28" s="2"/>
      <c r="E28" s="2"/>
      <c r="F28" s="2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2"/>
      <c r="S28" s="2"/>
      <c r="T28" s="2"/>
      <c r="U28" s="1"/>
    </row>
    <row r="29" spans="1:21" ht="15" thickBot="1">
      <c r="A29" s="1"/>
      <c r="B29" s="2"/>
      <c r="C29" s="2"/>
      <c r="D29" s="2"/>
      <c r="E29" s="2"/>
      <c r="F29" s="2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2"/>
      <c r="S29" s="2"/>
      <c r="T29" s="2"/>
      <c r="U29" s="1"/>
    </row>
    <row r="30" spans="1:21" ht="15" thickBot="1">
      <c r="A30" s="1"/>
      <c r="B30" s="2"/>
      <c r="C30" s="2"/>
      <c r="D30" s="2"/>
      <c r="E30" s="2"/>
      <c r="F30" s="2"/>
      <c r="G30" s="181" t="s">
        <v>216</v>
      </c>
      <c r="H30" s="182"/>
      <c r="I30" s="182"/>
      <c r="J30" s="182"/>
      <c r="K30" s="182"/>
      <c r="L30" s="182"/>
      <c r="M30" s="183"/>
      <c r="N30" s="10"/>
      <c r="O30" s="10"/>
      <c r="P30" s="10"/>
      <c r="Q30" s="10"/>
      <c r="R30" s="7"/>
      <c r="S30" s="2"/>
      <c r="T30" s="2"/>
      <c r="U30" s="1"/>
    </row>
    <row r="31" spans="1:21" ht="16.2" thickBot="1">
      <c r="A31" s="1"/>
      <c r="B31" s="2"/>
      <c r="C31" s="2"/>
      <c r="D31" s="19"/>
      <c r="E31" s="19"/>
      <c r="F31" s="19"/>
      <c r="G31" s="6" t="s">
        <v>217</v>
      </c>
      <c r="H31" s="4"/>
      <c r="I31" s="5"/>
      <c r="J31" s="179" t="e">
        <f>ER!E17</f>
        <v>#DIV/0!</v>
      </c>
      <c r="K31" s="180"/>
      <c r="L31" s="6" t="s">
        <v>107</v>
      </c>
      <c r="M31" s="5"/>
      <c r="N31" s="132"/>
      <c r="O31" s="132"/>
      <c r="P31" s="132"/>
      <c r="Q31" s="132"/>
      <c r="R31" s="7"/>
      <c r="S31" s="2"/>
      <c r="T31" s="2"/>
      <c r="U31" s="1"/>
    </row>
    <row r="32" spans="1:21" ht="16.2" thickBot="1">
      <c r="A32" s="1"/>
      <c r="B32" s="2"/>
      <c r="C32" s="2"/>
      <c r="D32" s="19"/>
      <c r="E32" s="19"/>
      <c r="F32" s="19"/>
      <c r="G32" s="6" t="s">
        <v>180</v>
      </c>
      <c r="H32" s="4"/>
      <c r="I32" s="5"/>
      <c r="J32" s="179" t="e">
        <f>ER!E18</f>
        <v>#DIV/0!</v>
      </c>
      <c r="K32" s="180"/>
      <c r="L32" s="6" t="s">
        <v>107</v>
      </c>
      <c r="M32" s="5"/>
      <c r="N32" s="132"/>
      <c r="O32" s="132"/>
      <c r="P32" s="132"/>
      <c r="Q32" s="132"/>
      <c r="R32" s="7"/>
      <c r="S32" s="2"/>
      <c r="T32" s="2"/>
      <c r="U32" s="1"/>
    </row>
    <row r="33" spans="1:21" ht="15" thickBot="1">
      <c r="A33" s="1"/>
      <c r="B33" s="2"/>
      <c r="C33" s="2"/>
      <c r="D33" s="19"/>
      <c r="E33" s="19"/>
      <c r="F33" s="19"/>
      <c r="G33" s="2"/>
      <c r="H33" s="2"/>
      <c r="I33" s="2"/>
      <c r="J33" s="2"/>
      <c r="K33" s="2"/>
      <c r="L33" s="2"/>
      <c r="M33" s="2"/>
      <c r="N33" s="132"/>
      <c r="O33" s="132"/>
      <c r="P33" s="132"/>
      <c r="Q33" s="132"/>
      <c r="R33" s="7"/>
      <c r="S33" s="2"/>
      <c r="T33" s="2"/>
      <c r="U33" s="1"/>
    </row>
    <row r="34" spans="1:21" ht="15" thickBot="1">
      <c r="A34" s="1"/>
      <c r="B34" s="2"/>
      <c r="C34" s="2"/>
      <c r="D34" s="19"/>
      <c r="E34" s="19"/>
      <c r="F34" s="19"/>
      <c r="G34" s="181" t="s">
        <v>218</v>
      </c>
      <c r="H34" s="182"/>
      <c r="I34" s="182"/>
      <c r="J34" s="182"/>
      <c r="K34" s="182"/>
      <c r="L34" s="182"/>
      <c r="M34" s="183"/>
      <c r="N34" s="132"/>
      <c r="O34" s="132"/>
      <c r="P34" s="132"/>
      <c r="Q34" s="132"/>
      <c r="R34" s="7"/>
      <c r="S34" s="2"/>
      <c r="T34" s="2"/>
      <c r="U34" s="1"/>
    </row>
    <row r="35" spans="1:21" ht="16.2" thickBot="1">
      <c r="A35" s="1"/>
      <c r="B35" s="2"/>
      <c r="C35" s="2"/>
      <c r="D35" s="19"/>
      <c r="E35" s="19"/>
      <c r="F35" s="19"/>
      <c r="G35" s="6" t="s">
        <v>217</v>
      </c>
      <c r="H35" s="4"/>
      <c r="I35" s="5"/>
      <c r="J35" s="179">
        <f>ER!E39</f>
        <v>0</v>
      </c>
      <c r="K35" s="180"/>
      <c r="L35" s="6" t="s">
        <v>107</v>
      </c>
      <c r="M35" s="5"/>
      <c r="N35" s="132"/>
      <c r="O35" s="132"/>
      <c r="P35" s="132"/>
      <c r="Q35" s="132"/>
      <c r="R35" s="7"/>
      <c r="S35" s="2"/>
      <c r="T35" s="2"/>
      <c r="U35" s="1"/>
    </row>
    <row r="36" spans="1:21" ht="16.2" thickBot="1">
      <c r="A36" s="1"/>
      <c r="B36" s="2"/>
      <c r="C36" s="2"/>
      <c r="D36" s="19"/>
      <c r="E36" s="19"/>
      <c r="F36" s="19"/>
      <c r="G36" s="6" t="s">
        <v>180</v>
      </c>
      <c r="H36" s="4"/>
      <c r="I36" s="5"/>
      <c r="J36" s="179">
        <f>ER!E40</f>
        <v>0</v>
      </c>
      <c r="K36" s="180"/>
      <c r="L36" s="6" t="s">
        <v>107</v>
      </c>
      <c r="M36" s="5"/>
      <c r="N36" s="19"/>
      <c r="O36" s="19"/>
      <c r="P36" s="19"/>
      <c r="Q36" s="19"/>
      <c r="R36" s="2"/>
      <c r="S36" s="2"/>
      <c r="T36" s="2"/>
      <c r="U36" s="1"/>
    </row>
    <row r="37" spans="1:21" s="9" customFormat="1"/>
    <row r="38" spans="1:21" s="9" customFormat="1"/>
    <row r="39" spans="1:21" s="9" customFormat="1"/>
    <row r="40" spans="1:21" s="9" customFormat="1"/>
    <row r="41" spans="1:21" s="9" customFormat="1"/>
    <row r="42" spans="1:21" s="9" customFormat="1"/>
    <row r="43" spans="1:21" s="9" customFormat="1"/>
    <row r="44" spans="1:21" s="9" customFormat="1"/>
    <row r="45" spans="1:21" s="9" customFormat="1"/>
    <row r="46" spans="1:21" s="9" customFormat="1"/>
    <row r="47" spans="1:21" s="9" customFormat="1"/>
    <row r="48" spans="1:21" s="9" customFormat="1"/>
    <row r="49" spans="8:8" s="9" customFormat="1"/>
    <row r="50" spans="8:8" s="9" customFormat="1"/>
    <row r="51" spans="8:8" hidden="1"/>
    <row r="52" spans="8:8" hidden="1"/>
    <row r="53" spans="8:8" ht="15" hidden="1" customHeight="1">
      <c r="H53" s="8" t="s">
        <v>108</v>
      </c>
    </row>
  </sheetData>
  <mergeCells count="6">
    <mergeCell ref="J36:K36"/>
    <mergeCell ref="J32:K32"/>
    <mergeCell ref="J31:K31"/>
    <mergeCell ref="G30:M30"/>
    <mergeCell ref="G34:M34"/>
    <mergeCell ref="J35:K35"/>
  </mergeCells>
  <phoneticPr fontId="2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S215"/>
  <sheetViews>
    <sheetView tabSelected="1" topLeftCell="A6" zoomScale="80" zoomScaleNormal="80" workbookViewId="0">
      <selection activeCell="E17" sqref="E17:E28"/>
    </sheetView>
  </sheetViews>
  <sheetFormatPr defaultColWidth="10.77734375" defaultRowHeight="15.6" outlineLevelRow="1"/>
  <cols>
    <col min="1" max="1" width="10.6640625" style="62" customWidth="1"/>
    <col min="2" max="2" width="39.109375" style="62" customWidth="1"/>
    <col min="3" max="3" width="34.44140625" style="62" customWidth="1"/>
    <col min="4" max="4" width="33.6640625" style="62" customWidth="1"/>
    <col min="5" max="5" width="91.33203125" style="62" customWidth="1"/>
    <col min="6" max="16384" width="10.77734375" style="62"/>
  </cols>
  <sheetData>
    <row r="1" spans="1:7">
      <c r="B1" s="61" t="s">
        <v>34</v>
      </c>
      <c r="C1" s="61"/>
      <c r="D1" s="61"/>
      <c r="E1" s="110" t="s">
        <v>26</v>
      </c>
      <c r="F1" s="65"/>
      <c r="G1" s="65"/>
    </row>
    <row r="2" spans="1:7">
      <c r="B2" s="63" t="s">
        <v>30</v>
      </c>
      <c r="C2" s="64"/>
      <c r="D2" s="64"/>
      <c r="E2" s="65" t="s">
        <v>181</v>
      </c>
      <c r="F2" s="65"/>
      <c r="G2" s="65"/>
    </row>
    <row r="3" spans="1:7">
      <c r="B3" s="63" t="s">
        <v>86</v>
      </c>
      <c r="C3" s="65"/>
      <c r="D3" s="65"/>
      <c r="E3" s="65" t="s">
        <v>268</v>
      </c>
      <c r="F3" s="65"/>
      <c r="G3" s="65"/>
    </row>
    <row r="4" spans="1:7">
      <c r="B4" s="66" t="s">
        <v>87</v>
      </c>
      <c r="C4" s="67"/>
      <c r="D4" s="67"/>
      <c r="E4" s="68" t="s">
        <v>167</v>
      </c>
    </row>
    <row r="5" spans="1:7" s="126" customFormat="1">
      <c r="B5" s="118"/>
      <c r="C5" s="118"/>
      <c r="D5" s="118"/>
      <c r="E5" s="118"/>
    </row>
    <row r="6" spans="1:7">
      <c r="A6" s="127" t="s">
        <v>206</v>
      </c>
      <c r="B6" s="128" t="s">
        <v>292</v>
      </c>
      <c r="C6" s="127"/>
      <c r="D6" s="127"/>
      <c r="E6" s="77"/>
    </row>
    <row r="7" spans="1:7" outlineLevel="1">
      <c r="D7" s="69"/>
    </row>
    <row r="8" spans="1:7" outlineLevel="1">
      <c r="B8" s="61" t="s">
        <v>88</v>
      </c>
      <c r="C8" s="114"/>
      <c r="D8" s="61"/>
      <c r="E8" s="77"/>
    </row>
    <row r="9" spans="1:7" outlineLevel="1">
      <c r="B9" s="63" t="s">
        <v>89</v>
      </c>
      <c r="C9" s="63"/>
      <c r="D9" s="81" t="s">
        <v>182</v>
      </c>
      <c r="E9" s="117" t="s">
        <v>90</v>
      </c>
      <c r="F9" s="65"/>
      <c r="G9" s="65"/>
    </row>
    <row r="10" spans="1:7" outlineLevel="1">
      <c r="B10" s="63" t="s">
        <v>91</v>
      </c>
      <c r="C10" s="63"/>
      <c r="D10" s="111">
        <v>5</v>
      </c>
      <c r="E10" s="65" t="s">
        <v>293</v>
      </c>
      <c r="F10" s="65"/>
      <c r="G10" s="65"/>
    </row>
    <row r="11" spans="1:7" outlineLevel="1">
      <c r="B11" s="63" t="s">
        <v>7</v>
      </c>
      <c r="C11" s="63"/>
      <c r="D11" s="112">
        <v>2020</v>
      </c>
      <c r="E11" s="65" t="s">
        <v>233</v>
      </c>
      <c r="F11" s="65"/>
      <c r="G11" s="65"/>
    </row>
    <row r="12" spans="1:7" outlineLevel="1">
      <c r="B12" s="63" t="s">
        <v>185</v>
      </c>
      <c r="C12" s="63"/>
      <c r="D12" s="178">
        <f>D11+D10-1</f>
        <v>2024</v>
      </c>
      <c r="E12" s="65" t="s">
        <v>127</v>
      </c>
      <c r="F12" s="65"/>
      <c r="G12" s="65"/>
    </row>
    <row r="13" spans="1:7" outlineLevel="1">
      <c r="B13" s="63" t="s">
        <v>186</v>
      </c>
      <c r="C13" s="63"/>
      <c r="D13" s="81"/>
      <c r="E13" s="65" t="s">
        <v>16</v>
      </c>
      <c r="F13" s="65"/>
      <c r="G13" s="65"/>
    </row>
    <row r="14" spans="1:7" outlineLevel="1">
      <c r="B14" s="63" t="s">
        <v>187</v>
      </c>
      <c r="C14" s="63"/>
      <c r="D14" s="81"/>
      <c r="E14" s="65" t="s">
        <v>17</v>
      </c>
      <c r="F14" s="65"/>
      <c r="G14" s="65"/>
    </row>
    <row r="15" spans="1:7" outlineLevel="1">
      <c r="B15" s="73" t="s">
        <v>132</v>
      </c>
      <c r="C15" s="73"/>
      <c r="D15" s="74">
        <v>5</v>
      </c>
      <c r="E15" s="65" t="s">
        <v>71</v>
      </c>
      <c r="F15" s="65"/>
      <c r="G15" s="65"/>
    </row>
    <row r="16" spans="1:7" outlineLevel="1">
      <c r="B16" s="75"/>
      <c r="D16" s="75"/>
      <c r="E16" s="65"/>
      <c r="F16" s="65"/>
      <c r="G16" s="65"/>
    </row>
    <row r="17" spans="2:7" outlineLevel="1">
      <c r="B17" s="76" t="s">
        <v>45</v>
      </c>
      <c r="C17" s="76"/>
      <c r="D17" s="76"/>
      <c r="E17" s="184" t="s">
        <v>122</v>
      </c>
      <c r="F17" s="65"/>
      <c r="G17" s="65"/>
    </row>
    <row r="18" spans="2:7" outlineLevel="1">
      <c r="B18" s="115" t="s">
        <v>133</v>
      </c>
      <c r="C18" s="116" t="s">
        <v>134</v>
      </c>
      <c r="D18" s="115" t="s">
        <v>121</v>
      </c>
      <c r="E18" s="185"/>
      <c r="F18" s="65"/>
      <c r="G18" s="65"/>
    </row>
    <row r="19" spans="2:7" outlineLevel="1">
      <c r="B19" s="176">
        <f>D11</f>
        <v>2020</v>
      </c>
      <c r="C19" s="176">
        <f>D19</f>
        <v>0</v>
      </c>
      <c r="D19" s="79"/>
      <c r="E19" s="185"/>
      <c r="F19" s="65"/>
      <c r="G19" s="65"/>
    </row>
    <row r="20" spans="2:7" outlineLevel="1">
      <c r="B20" s="177">
        <f>IF(B$19+1&gt;D$12,"N/A",B$19+1)</f>
        <v>2021</v>
      </c>
      <c r="C20" s="177">
        <f>IF(D15=1,D20,IF(D15=2,D19+D20,D19+D20))</f>
        <v>0</v>
      </c>
      <c r="D20" s="79"/>
      <c r="E20" s="185"/>
      <c r="F20" s="65"/>
      <c r="G20" s="65"/>
    </row>
    <row r="21" spans="2:7" outlineLevel="1">
      <c r="B21" s="177">
        <f>IF(B$19+2&gt;D$12,"N/A",B$19+2)</f>
        <v>2022</v>
      </c>
      <c r="C21" s="177">
        <f>IF(D15=1,D21,IF(D15=2,D20+D21,IF(D15=3,D19+D20+D21,D19+D20+D21)))</f>
        <v>0</v>
      </c>
      <c r="D21" s="79"/>
      <c r="E21" s="185"/>
      <c r="F21" s="65"/>
      <c r="G21" s="65"/>
    </row>
    <row r="22" spans="2:7" outlineLevel="1">
      <c r="B22" s="177">
        <f>IF(B$19+3&gt;D$12,"N/A",B$19+3)</f>
        <v>2023</v>
      </c>
      <c r="C22" s="177">
        <f>IF(D15=1,D22,IF(D15=2,D21+D22,IF(D15=3,D20+D21+D22,IF(D15=4,D19+D20+D21+D22,D19+D20+D21+D22))))</f>
        <v>0</v>
      </c>
      <c r="D22" s="79"/>
      <c r="E22" s="185"/>
      <c r="F22" s="65"/>
      <c r="G22" s="65"/>
    </row>
    <row r="23" spans="2:7" outlineLevel="1">
      <c r="B23" s="177">
        <f>IF(B$19+4&gt;D$12,"N/A",B$19+4)</f>
        <v>2024</v>
      </c>
      <c r="C23" s="177">
        <f>IF(D15=1,D23,IF(D15=2,D22+D23,IF(D15=3,D21+D22+D23,IF(D15=4,D20+D21+D22+D23,IF(D15=5,D19+D20+D21+D22+D23,D19+D20+D21+D22+D23)))))</f>
        <v>0</v>
      </c>
      <c r="D23" s="79"/>
      <c r="E23" s="185"/>
      <c r="F23" s="65"/>
      <c r="G23" s="65"/>
    </row>
    <row r="24" spans="2:7" outlineLevel="1">
      <c r="B24" s="177" t="str">
        <f>IF(B$19+5&gt;D$12,"N/A",B$19+5)</f>
        <v>N/A</v>
      </c>
      <c r="C24" s="177">
        <f>IF(D15=1,D24,IF(D15=2,D23+D24,IF(D15=3,D22+D23+D24,IF(D15=4,D21+D22+D23+D24,IF(D15=5,D20+D21+D22+D23+D24,IF(D15=6,D19+D20+D21+D22+D23+D24,D19+D20+D21+D22+D23+D24))))))</f>
        <v>0</v>
      </c>
      <c r="D24" s="79"/>
      <c r="E24" s="185"/>
      <c r="F24" s="65"/>
      <c r="G24" s="65"/>
    </row>
    <row r="25" spans="2:7" outlineLevel="1">
      <c r="B25" s="177" t="str">
        <f>IF(B$19+6&gt;D$12,"N/A",B$19+6)</f>
        <v>N/A</v>
      </c>
      <c r="C25" s="177">
        <f>IF(D15=1,D25,IF(D15=2,D24+D25,IF(D15=3,D23+D24+D25,IF(D15=4,D22+D23+D24+D25,IF(D15=5,D21+D22+D23+D24+D25,IF(D15=6,D20+D21+D22+D23+D24+D25,IF(D15=7,D19+D20+D21+D22+D23+D24+D25,D19+D20+D21+D22+D23+D24+D25)))))))</f>
        <v>0</v>
      </c>
      <c r="D25" s="79"/>
      <c r="E25" s="185"/>
      <c r="F25" s="65"/>
      <c r="G25" s="65"/>
    </row>
    <row r="26" spans="2:7" outlineLevel="1">
      <c r="B26" s="177" t="str">
        <f>IF(B$19+7&gt;D$12,"N/A",B$19+7)</f>
        <v>N/A</v>
      </c>
      <c r="C26" s="177">
        <f>IF(D15=1,D26,IF(D15=2,D25+D26,IF(D15=3,D24+D25+D26,IF(D15=4,D23+D24+D25+D26,IF(D15=5,D22+D23+D24+D25+D26,IF(D15=6,D21+D22+D23+D24+D25+D26,IF(D15=7,D20+D21+D22+D23+D24+D25+D26,IF(D15=8,D19+D20+D21+D22+D23+D24+D25+D26,D19+D20+D21+D22+D23+D24+D25+D26))))))))</f>
        <v>0</v>
      </c>
      <c r="D26" s="79"/>
      <c r="E26" s="185"/>
      <c r="F26" s="65"/>
      <c r="G26" s="65"/>
    </row>
    <row r="27" spans="2:7" outlineLevel="1">
      <c r="B27" s="177" t="str">
        <f>IF(B$19+8&gt;D$12,"N/A",B$19+8)</f>
        <v>N/A</v>
      </c>
      <c r="C27" s="177">
        <f>IF(D15=1,D27,IF(D15=2,D26+D27,IF(D15=3,D25+D26+D27,IF(D15=4,D24+D25+D26+D27,IF(D15=5,D23+D24+D25+D26+D27,IF(D15=6,D22+D23+D24+D25+D26+D27,IF(D15=7,D21+D22+D23+D24+D25+D26+D27,IF(D15=8,D20+D21+D22+D23+D24+D25+D26+D27,IF(D15=9,D19+D20+D21+D22+D23+D24+D25+D26+D27,D19+D20+D21+D22+D23+D24+D25+D26+D27)))))))))</f>
        <v>0</v>
      </c>
      <c r="D27" s="79"/>
      <c r="E27" s="185"/>
      <c r="F27" s="65"/>
      <c r="G27" s="65"/>
    </row>
    <row r="28" spans="2:7" outlineLevel="1">
      <c r="B28" s="177" t="str">
        <f>IF(B$19+9&gt;D$12,"N/A",B$19+9)</f>
        <v>N/A</v>
      </c>
      <c r="C28" s="177">
        <f>IF(D15=1,D28,IF(D15=2,D27+D28,IF(D15=3,D26+D27+D28,IF(D15=4,D25+D26+D27+D28,IF(D15=5,D24+D25+D26+D27+D28,IF(D15=6,D23+D24+D25+D26+D27+D28,IF(D15=7,D22+D23+D24+D25+D26+D27+D28,IF(D15=8,D21+D22+D23+D24+D25+D26+D27+D28,IF(D15=9,D20+D21+D22+D23+D24+D25+D26+D27+D28,IF(D15=10,D19+D20+D21+D22+D23+D24+D25+D26+D27+D28,D19+D20+D21+D22+D23+D24+D25+D26+D27+D28))))))))))</f>
        <v>0</v>
      </c>
      <c r="D28" s="79"/>
      <c r="E28" s="185"/>
      <c r="F28" s="65"/>
      <c r="G28" s="65"/>
    </row>
    <row r="29" spans="2:7" outlineLevel="1">
      <c r="B29" s="68"/>
      <c r="C29" s="68"/>
      <c r="D29" s="68"/>
      <c r="E29" s="65"/>
      <c r="F29" s="65"/>
      <c r="G29" s="65"/>
    </row>
    <row r="30" spans="2:7" outlineLevel="1">
      <c r="B30" s="76" t="s">
        <v>183</v>
      </c>
      <c r="C30" s="76" t="s">
        <v>135</v>
      </c>
      <c r="D30" s="76" t="s">
        <v>136</v>
      </c>
      <c r="E30" s="65"/>
      <c r="F30" s="65"/>
      <c r="G30" s="65"/>
    </row>
    <row r="31" spans="2:7" outlineLevel="1">
      <c r="B31" s="63" t="s">
        <v>137</v>
      </c>
      <c r="C31" s="63" t="s">
        <v>138</v>
      </c>
      <c r="D31" s="71">
        <v>5</v>
      </c>
      <c r="E31" s="65" t="s">
        <v>163</v>
      </c>
      <c r="F31" s="65"/>
      <c r="G31" s="65"/>
    </row>
    <row r="32" spans="2:7" outlineLevel="1">
      <c r="B32" s="63" t="s">
        <v>70</v>
      </c>
      <c r="C32" s="63"/>
      <c r="D32" s="64" t="s">
        <v>131</v>
      </c>
      <c r="E32" s="65" t="s">
        <v>294</v>
      </c>
      <c r="F32" s="65"/>
      <c r="G32" s="65"/>
    </row>
    <row r="33" spans="2:9" outlineLevel="1">
      <c r="B33" s="80" t="str">
        <f>BG!D44</f>
        <v>Historical data</v>
      </c>
      <c r="C33" s="63" t="s">
        <v>139</v>
      </c>
      <c r="D33" s="71" t="s">
        <v>179</v>
      </c>
      <c r="E33" s="65" t="s">
        <v>265</v>
      </c>
      <c r="F33" s="65"/>
      <c r="G33" s="65"/>
    </row>
    <row r="34" spans="2:9" outlineLevel="1">
      <c r="B34" s="80" t="str">
        <f>BG!D45</f>
        <v>Survey</v>
      </c>
      <c r="C34" s="63" t="s">
        <v>139</v>
      </c>
      <c r="D34" s="71" t="s">
        <v>261</v>
      </c>
      <c r="E34" s="65" t="s">
        <v>264</v>
      </c>
      <c r="F34" s="65"/>
      <c r="G34" s="65"/>
    </row>
    <row r="35" spans="2:9" outlineLevel="1">
      <c r="B35" s="80" t="str">
        <f>BG!D46</f>
        <v>Minimum service level</v>
      </c>
      <c r="C35" s="63" t="s">
        <v>140</v>
      </c>
      <c r="D35" s="72">
        <v>0.5</v>
      </c>
      <c r="E35" s="65" t="s">
        <v>184</v>
      </c>
      <c r="F35" s="65"/>
      <c r="G35" s="65"/>
    </row>
    <row r="36" spans="2:9" outlineLevel="1">
      <c r="B36" s="80" t="str">
        <f>BG!D47</f>
        <v>Field Performance test</v>
      </c>
      <c r="C36" s="63" t="s">
        <v>139</v>
      </c>
      <c r="D36" s="71" t="s">
        <v>141</v>
      </c>
      <c r="E36" s="65" t="s">
        <v>92</v>
      </c>
      <c r="F36" s="65"/>
      <c r="G36" s="65"/>
    </row>
    <row r="37" spans="2:9" outlineLevel="1">
      <c r="B37" s="73" t="s">
        <v>46</v>
      </c>
      <c r="C37" s="66" t="s">
        <v>164</v>
      </c>
      <c r="D37" s="73">
        <f>IF(D32="Minimum Service Level",D35*D31,IF(D32="Historical data",$D$33,IF(D32="Survey",$D$34,IF(D32="Field Performance test",$D$36))))</f>
        <v>2.5</v>
      </c>
      <c r="E37" s="65" t="s">
        <v>127</v>
      </c>
      <c r="F37" s="65"/>
      <c r="G37" s="65"/>
    </row>
    <row r="38" spans="2:9" outlineLevel="1">
      <c r="E38" s="65"/>
      <c r="F38" s="65"/>
      <c r="G38" s="65"/>
    </row>
    <row r="39" spans="2:9" outlineLevel="1">
      <c r="B39" s="76" t="s">
        <v>165</v>
      </c>
      <c r="C39" s="76"/>
      <c r="D39" s="76"/>
      <c r="E39" s="65"/>
      <c r="F39" s="65"/>
      <c r="G39" s="65"/>
    </row>
    <row r="40" spans="2:9" outlineLevel="1">
      <c r="B40" s="63" t="s">
        <v>175</v>
      </c>
      <c r="C40" s="63"/>
      <c r="D40" s="64" t="s">
        <v>190</v>
      </c>
      <c r="E40" s="65" t="s">
        <v>243</v>
      </c>
      <c r="F40" s="65"/>
      <c r="G40" s="65"/>
    </row>
    <row r="41" spans="2:9" outlineLevel="1">
      <c r="B41" s="63" t="s">
        <v>262</v>
      </c>
      <c r="C41" s="63"/>
      <c r="D41" s="144">
        <v>0.1</v>
      </c>
      <c r="E41" s="65" t="s">
        <v>244</v>
      </c>
      <c r="F41" s="65"/>
      <c r="G41" s="65"/>
    </row>
    <row r="42" spans="2:9" outlineLevel="1">
      <c r="B42" s="63" t="s">
        <v>176</v>
      </c>
      <c r="C42" s="63" t="s">
        <v>166</v>
      </c>
      <c r="D42" s="82">
        <f>IF(D40="Default",BG!D35,D41)</f>
        <v>0.1</v>
      </c>
      <c r="E42" s="65" t="s">
        <v>177</v>
      </c>
      <c r="F42" s="65"/>
      <c r="G42" s="65"/>
    </row>
    <row r="43" spans="2:9" outlineLevel="1">
      <c r="B43" s="63" t="s">
        <v>194</v>
      </c>
      <c r="C43" s="63"/>
      <c r="D43" s="64" t="s">
        <v>192</v>
      </c>
      <c r="E43" s="65" t="s">
        <v>195</v>
      </c>
      <c r="F43" s="65"/>
      <c r="G43" s="65"/>
    </row>
    <row r="44" spans="2:9" outlineLevel="1">
      <c r="B44" s="63"/>
      <c r="C44" s="63" t="s">
        <v>235</v>
      </c>
      <c r="D44" s="83"/>
      <c r="E44" s="65" t="s">
        <v>236</v>
      </c>
      <c r="F44" s="65"/>
      <c r="G44" s="65"/>
    </row>
    <row r="45" spans="2:9" outlineLevel="1">
      <c r="B45" s="63" t="s">
        <v>168</v>
      </c>
      <c r="C45" s="63"/>
      <c r="D45" s="84" t="s">
        <v>190</v>
      </c>
      <c r="E45" s="65" t="s">
        <v>60</v>
      </c>
      <c r="F45" s="65"/>
      <c r="G45" s="65"/>
    </row>
    <row r="46" spans="2:9" outlineLevel="1">
      <c r="B46" s="63" t="s">
        <v>201</v>
      </c>
      <c r="C46" s="85">
        <f>IF(D46="Default",1%, "Not Selected")</f>
        <v>0.01</v>
      </c>
      <c r="D46" s="84" t="s">
        <v>190</v>
      </c>
      <c r="E46" s="65" t="s">
        <v>61</v>
      </c>
      <c r="F46" s="65"/>
      <c r="G46" s="65"/>
    </row>
    <row r="47" spans="2:9" outlineLevel="1">
      <c r="B47" s="86" t="s">
        <v>202</v>
      </c>
      <c r="C47" s="86" t="s">
        <v>295</v>
      </c>
      <c r="D47" s="86" t="s">
        <v>47</v>
      </c>
      <c r="E47" s="65"/>
      <c r="F47" s="65"/>
      <c r="G47" s="65"/>
    </row>
    <row r="48" spans="2:9" outlineLevel="1">
      <c r="B48" s="72">
        <f t="shared" ref="B48:B57" si="0">B75</f>
        <v>2020</v>
      </c>
      <c r="C48" s="143">
        <f>IF($D$45="Default",$D$44,D48)</f>
        <v>0</v>
      </c>
      <c r="D48" s="83"/>
      <c r="E48" s="65"/>
      <c r="F48" s="65"/>
      <c r="G48" s="65"/>
      <c r="H48" s="139"/>
      <c r="I48" s="140"/>
    </row>
    <row r="49" spans="2:9" outlineLevel="1">
      <c r="B49" s="72">
        <f t="shared" si="0"/>
        <v>2021</v>
      </c>
      <c r="C49" s="143">
        <f>IF($D$45="Default",$D$44*99%,D49)</f>
        <v>0</v>
      </c>
      <c r="D49" s="83"/>
      <c r="E49" s="65"/>
      <c r="F49" s="65"/>
      <c r="G49" s="65"/>
      <c r="H49" s="139"/>
      <c r="I49" s="140"/>
    </row>
    <row r="50" spans="2:9" outlineLevel="1">
      <c r="B50" s="72">
        <f t="shared" si="0"/>
        <v>2022</v>
      </c>
      <c r="C50" s="143">
        <f>IF($D$45="Default",$D$44*98%,D50)</f>
        <v>0</v>
      </c>
      <c r="D50" s="83"/>
      <c r="E50" s="65"/>
      <c r="F50" s="65"/>
      <c r="G50" s="65"/>
      <c r="H50" s="139"/>
      <c r="I50" s="140"/>
    </row>
    <row r="51" spans="2:9" outlineLevel="1">
      <c r="B51" s="72">
        <f t="shared" si="0"/>
        <v>2023</v>
      </c>
      <c r="C51" s="143">
        <f>IF($D$45="Default",$D$44*97%,D51)</f>
        <v>0</v>
      </c>
      <c r="D51" s="83"/>
      <c r="E51" s="65"/>
      <c r="F51" s="65"/>
      <c r="G51" s="65"/>
      <c r="H51" s="139"/>
      <c r="I51" s="140"/>
    </row>
    <row r="52" spans="2:9" outlineLevel="1">
      <c r="B52" s="72">
        <f t="shared" si="0"/>
        <v>2024</v>
      </c>
      <c r="C52" s="143">
        <f>IF($D$45="Default",$D$44*96%,D52)</f>
        <v>0</v>
      </c>
      <c r="D52" s="83"/>
      <c r="E52" s="65"/>
      <c r="F52" s="65"/>
      <c r="G52" s="65"/>
      <c r="H52" s="139"/>
      <c r="I52" s="140"/>
    </row>
    <row r="53" spans="2:9" outlineLevel="1">
      <c r="B53" s="72" t="str">
        <f t="shared" si="0"/>
        <v>N/A</v>
      </c>
      <c r="C53" s="143">
        <f>IF($D$45="Default",$D$44*95%,D53)</f>
        <v>0</v>
      </c>
      <c r="D53" s="83"/>
      <c r="E53" s="65"/>
      <c r="F53" s="65"/>
      <c r="G53" s="65"/>
      <c r="H53" s="139"/>
      <c r="I53" s="140"/>
    </row>
    <row r="54" spans="2:9" outlineLevel="1">
      <c r="B54" s="72" t="str">
        <f t="shared" si="0"/>
        <v>N/A</v>
      </c>
      <c r="C54" s="143">
        <f>IF($D$45="Default",$D$44*94%,D54)</f>
        <v>0</v>
      </c>
      <c r="D54" s="83"/>
      <c r="E54" s="65"/>
      <c r="F54" s="65"/>
      <c r="G54" s="65"/>
      <c r="H54" s="139"/>
      <c r="I54" s="140"/>
    </row>
    <row r="55" spans="2:9" outlineLevel="1">
      <c r="B55" s="72" t="str">
        <f t="shared" si="0"/>
        <v>N/A</v>
      </c>
      <c r="C55" s="143">
        <f>IF($D$45="Default",$D$44*93%,D55)</f>
        <v>0</v>
      </c>
      <c r="D55" s="83"/>
      <c r="E55" s="65"/>
      <c r="F55" s="65"/>
      <c r="G55" s="65"/>
      <c r="H55" s="139"/>
      <c r="I55" s="140"/>
    </row>
    <row r="56" spans="2:9" outlineLevel="1">
      <c r="B56" s="72" t="str">
        <f t="shared" si="0"/>
        <v>N/A</v>
      </c>
      <c r="C56" s="143">
        <f>IF($D$45="Default",$D$44*92%,D56)</f>
        <v>0</v>
      </c>
      <c r="D56" s="83"/>
      <c r="E56" s="65"/>
      <c r="F56" s="65"/>
      <c r="G56" s="65"/>
      <c r="H56" s="139"/>
      <c r="I56" s="140"/>
    </row>
    <row r="57" spans="2:9" outlineLevel="1">
      <c r="B57" s="72" t="str">
        <f t="shared" si="0"/>
        <v>N/A</v>
      </c>
      <c r="C57" s="143">
        <f>IF($D$45="Default",$D$44*91%,D57)</f>
        <v>0</v>
      </c>
      <c r="D57" s="83"/>
      <c r="E57" s="65"/>
      <c r="F57" s="65"/>
      <c r="G57" s="65"/>
      <c r="H57" s="139"/>
      <c r="I57" s="140"/>
    </row>
    <row r="58" spans="2:9" outlineLevel="1">
      <c r="E58" s="65"/>
      <c r="F58" s="65"/>
      <c r="G58" s="65"/>
    </row>
    <row r="59" spans="2:9" outlineLevel="1">
      <c r="B59" s="87" t="s">
        <v>48</v>
      </c>
      <c r="C59" s="88"/>
      <c r="D59" s="89"/>
      <c r="E59" s="90" t="s">
        <v>296</v>
      </c>
      <c r="F59" s="65"/>
      <c r="G59" s="65"/>
    </row>
    <row r="60" spans="2:9" outlineLevel="1">
      <c r="B60" s="91" t="s">
        <v>49</v>
      </c>
      <c r="C60" s="92" t="s">
        <v>286</v>
      </c>
      <c r="D60" s="91" t="s">
        <v>269</v>
      </c>
      <c r="E60" s="175" t="s">
        <v>289</v>
      </c>
      <c r="F60" s="65"/>
      <c r="G60" s="65"/>
    </row>
    <row r="61" spans="2:9" outlineLevel="1">
      <c r="B61" s="92" t="s">
        <v>50</v>
      </c>
      <c r="C61" s="93">
        <f>D19*D61</f>
        <v>0</v>
      </c>
      <c r="D61" s="169">
        <v>1</v>
      </c>
      <c r="E61" s="65"/>
      <c r="F61" s="65"/>
      <c r="G61" s="65"/>
    </row>
    <row r="62" spans="2:9" outlineLevel="1">
      <c r="B62" s="92" t="s">
        <v>51</v>
      </c>
      <c r="C62" s="93">
        <f>IF(D15=1,D20*D61,IF(D15=2,D19*D62+D20*D61,D19*D62+D20*D61))</f>
        <v>0</v>
      </c>
      <c r="D62" s="170">
        <v>1</v>
      </c>
      <c r="E62" s="65"/>
      <c r="F62" s="65"/>
      <c r="G62" s="65"/>
    </row>
    <row r="63" spans="2:9" outlineLevel="1">
      <c r="B63" s="92" t="s">
        <v>52</v>
      </c>
      <c r="C63" s="93">
        <f>IF(D15=1,D21*D61,IF(D15=2,D20*D62+D21*D61,IF(D15=3,D19*D63+D20*D62+D21*D61,D19*D63+D20*D62+D21*D61)))</f>
        <v>0</v>
      </c>
      <c r="D63" s="170">
        <v>1</v>
      </c>
      <c r="E63" s="65"/>
      <c r="F63" s="65"/>
      <c r="G63" s="65"/>
    </row>
    <row r="64" spans="2:9" outlineLevel="1">
      <c r="B64" s="92" t="s">
        <v>53</v>
      </c>
      <c r="C64" s="93">
        <f>IF(D15=1,D22*D61,IF(D15=2,D21*D62+D22*D61,IF(D15=3,D20*D63+D21*D62+D22*D61,IF(D15=4,D19*D64+D20*D63+D21*D62+D22*D61,D19*D64+D20*D63+D21*D62+D22*D61))))</f>
        <v>0</v>
      </c>
      <c r="D64" s="170">
        <v>1</v>
      </c>
      <c r="E64" s="65"/>
      <c r="F64" s="65"/>
      <c r="G64" s="65"/>
    </row>
    <row r="65" spans="2:7" outlineLevel="1">
      <c r="B65" s="92" t="s">
        <v>54</v>
      </c>
      <c r="C65" s="93">
        <f>IF(D15=1,D23*D61,IF(D15=2,D22*D62+D23*D61,IF(D15=3,D21*D63+D22*D62+D23*D61,IF(D15=4,D20*D64+D21*D63+D22*D62+D23*D61,IF(D15=5,D19*D65+D20*D64+D21*D63+D22*D62+D23*D61,D19*D65+D20*D64+D21*D63+D22*D62+D23*D61)))))</f>
        <v>0</v>
      </c>
      <c r="D65" s="170">
        <v>1</v>
      </c>
      <c r="E65" s="65"/>
      <c r="F65" s="65"/>
      <c r="G65" s="65"/>
    </row>
    <row r="66" spans="2:7" outlineLevel="1">
      <c r="B66" s="92" t="s">
        <v>55</v>
      </c>
      <c r="C66" s="93">
        <f>IF(D15=1,D24*D61,IF(D15=2,D23*D62+D24*D61,IF(D15=3,D22*D63+D23*D62+D24*D61,IF(D15=4,D21*D64+D22*D63+D23*D62+D24*D61,IF(D15=5,D20*D65+D21*D64+D22*D63+D23*D62+D24*D61,IF(D15=6,D19*D66+D20*D65+D21*D64+D22*D63+D23*D62+D24*D61,D19*D66+D20*D65+D21*D64+D22*D63+D23*D62+D24*D61))))))</f>
        <v>0</v>
      </c>
      <c r="D66" s="170"/>
      <c r="E66" s="65"/>
      <c r="F66" s="65"/>
      <c r="G66" s="65"/>
    </row>
    <row r="67" spans="2:7" outlineLevel="1">
      <c r="B67" s="92" t="s">
        <v>142</v>
      </c>
      <c r="C67" s="93">
        <f>IF(D15=1,D25*D61,IF(D15=2,D24*D62+D25*D61,IF(D15=3,D23*D63+D24*D62+D25*D61,IF(D15=4,D22*D64+D23*D63+D24*D62+D25*D61,IF(D15=5,D21*D65+D22*D64+D23*D63+D24*D62+D25*D61,IF(D15=6,D20*D66+D21*D65+D22*D64+D23*D63+D24*D62+D25*D61,IF(D15=7,D19*D67+D20*D66+D21*D65+D22*D64+D23*D63+D24*D62+D25*D61,D19*D67+D20*D66+D21*D65+D22*D64+D23*D63+D24*D62+D25*D61)))))))</f>
        <v>0</v>
      </c>
      <c r="D67" s="94"/>
      <c r="E67" s="65"/>
      <c r="F67" s="65"/>
      <c r="G67" s="65"/>
    </row>
    <row r="68" spans="2:7" outlineLevel="1">
      <c r="B68" s="92" t="s">
        <v>143</v>
      </c>
      <c r="C68" s="93">
        <f>IF(D15=1,D26*D61,IF(D15=2,D25*D62+D26*D61,IF(D15=3,D24*D63+D25*D62+D26*D61,IF(D15=4,D23*D64+D24*D63+D25*D62+D26*D61,IF(D15=5,D22*D65+D23*D64+D24*D63+D25*D62+D26*D61,IF(D15=6,D21*D66+D22*D65+D23*D64+D24*D63+D25*D62+D26*D61,IF(D15=7,D20*D67+D21*D66+D22*D65+D23*D64+D24*D63+D25*D62+D26*D61,IF(D15=8,D19*D68+D20*D67+D21*D66+D22*D65+D23*D64+D24*D63+D25*D62+D26*D61,D19*D68+D20*D67+D21*D66+D22*D65+D23*D64+D24*D63+D25*D62+D26*D61))))))))</f>
        <v>0</v>
      </c>
      <c r="D68" s="94"/>
      <c r="E68" s="65"/>
      <c r="F68" s="65"/>
      <c r="G68" s="65"/>
    </row>
    <row r="69" spans="2:7" outlineLevel="1">
      <c r="B69" s="92" t="s">
        <v>144</v>
      </c>
      <c r="C69" s="93">
        <f>IF(D15=1,D27*D61,IF(D15=2,D26*D62+D27*D61,IF(D15=3,D25*D63+D26*D62+D27*D61,IF(D15=4,D24*D64+D25*D63+D26*D62+D27*D61,IF(D15=5,D23*D65+D24*D64+D25*D63+D26*D62+D27*D61,IF(D15=6,D22*D66+D23*D65+D24*D64+D25*D63+D26*D62+D27*D61,IF(D15=7,D21*D67+D22*D66+D23*D65+D24*D64+D25*D63+D26*D62+D27*D61,IF(D15=8,D20*D68+D21*D67+D22*D66+D23*D65+D24*D64+D25*D63+D26*D62+D27*D61,IF(D15=9,D19*D69+D20*D68+D21*D67+D22*D66+D23*D65+D24*D64+D25*D63+D26*D62+D27*D61,D19*D69+D20*D68+D21*D67+D22*D66+D23*D65+D24*D64+D25*D63+D26*D62+D27*D61)))))))))</f>
        <v>0</v>
      </c>
      <c r="D69" s="94"/>
      <c r="E69" s="65"/>
      <c r="F69" s="65"/>
      <c r="G69" s="65"/>
    </row>
    <row r="70" spans="2:7" outlineLevel="1">
      <c r="B70" s="92" t="s">
        <v>145</v>
      </c>
      <c r="C70" s="93">
        <f>IF(D15=1,D28*D61,IF(D15=2,D27*D62+D28*D61,IF(D15=3,D26*D63+D27*D62+D28*D61,IF(D15=4,D25*D64+D26*D63+D27*D62+D28*D61,IF(D15=5,D24*D65+D25*D64+D26*D63+D27*D62+D28*D61,IF(D15=6,D23*D66+D24*D65+D25*D64+D26*D63+D27*D62+D28*D61,IF(D15=7,D22*D67+D23*D66+D24*D65+D25*D64+D26*D63+D27*D62+D28*D61,IF(D15=8,D21*D68+D22*D67+D23*D66+D24*D65+D25*D64+D26*D63+D27*D62+D28*D61,IF(D15=9,D20*D69+D21*D68+D22*D67+D23*D66+D24*D65+D25*D64+D26*D63+D27*D62+D28*D61,IF(D15=10,D19*D70+D20*D69+D21*D68+D22*D67+D23*D66+D24*D65+D25*D64+D26*D63+D27*D62+D28*D61,D19*D70+D20*D69+D21*D68+D22*D67+D23*D66+D24*D65+D25*D64+D26*D63+D27*D62+D28*D61))))))))))</f>
        <v>0</v>
      </c>
      <c r="D70" s="94"/>
      <c r="E70" s="65"/>
      <c r="F70" s="65"/>
      <c r="G70" s="65"/>
    </row>
    <row r="71" spans="2:7" outlineLevel="1">
      <c r="E71" s="65"/>
      <c r="F71" s="65"/>
      <c r="G71" s="65"/>
    </row>
    <row r="72" spans="2:7" outlineLevel="1">
      <c r="B72" s="95" t="s">
        <v>146</v>
      </c>
      <c r="C72" s="96"/>
      <c r="D72" s="64" t="s">
        <v>63</v>
      </c>
      <c r="E72" s="90" t="s">
        <v>207</v>
      </c>
      <c r="F72" s="65"/>
      <c r="G72" s="65"/>
    </row>
    <row r="73" spans="2:7" outlineLevel="1">
      <c r="B73" s="97"/>
      <c r="C73" s="98"/>
      <c r="D73" s="99">
        <v>1</v>
      </c>
      <c r="E73" s="90" t="s">
        <v>208</v>
      </c>
      <c r="F73" s="65"/>
      <c r="G73" s="65"/>
    </row>
    <row r="74" spans="2:7" outlineLevel="1">
      <c r="B74" s="100" t="s">
        <v>202</v>
      </c>
      <c r="C74" s="100" t="s">
        <v>41</v>
      </c>
      <c r="D74" s="101" t="s">
        <v>1</v>
      </c>
      <c r="E74" s="186" t="s">
        <v>297</v>
      </c>
      <c r="F74" s="185"/>
      <c r="G74" s="65"/>
    </row>
    <row r="75" spans="2:7" outlineLevel="1">
      <c r="B75" s="92">
        <f t="shared" ref="B75:B84" si="1">B19</f>
        <v>2020</v>
      </c>
      <c r="C75" s="102">
        <f>IF($D$72="Fixed",$D$73,D75)</f>
        <v>1</v>
      </c>
      <c r="D75" s="94"/>
      <c r="E75" s="187"/>
      <c r="F75" s="185"/>
      <c r="G75" s="65"/>
    </row>
    <row r="76" spans="2:7" outlineLevel="1">
      <c r="B76" s="92">
        <f t="shared" si="1"/>
        <v>2021</v>
      </c>
      <c r="C76" s="102">
        <f t="shared" ref="C76:C84" si="2">IF($D$72="Fixed",$D$73,D76)</f>
        <v>1</v>
      </c>
      <c r="D76" s="94"/>
      <c r="E76" s="187"/>
      <c r="F76" s="185"/>
      <c r="G76" s="65"/>
    </row>
    <row r="77" spans="2:7" outlineLevel="1">
      <c r="B77" s="92">
        <f t="shared" si="1"/>
        <v>2022</v>
      </c>
      <c r="C77" s="102">
        <f t="shared" si="2"/>
        <v>1</v>
      </c>
      <c r="D77" s="94"/>
      <c r="E77" s="187"/>
      <c r="F77" s="185"/>
      <c r="G77" s="65"/>
    </row>
    <row r="78" spans="2:7" outlineLevel="1">
      <c r="B78" s="92">
        <f t="shared" si="1"/>
        <v>2023</v>
      </c>
      <c r="C78" s="102">
        <f t="shared" si="2"/>
        <v>1</v>
      </c>
      <c r="D78" s="94"/>
      <c r="E78" s="187"/>
      <c r="F78" s="185"/>
      <c r="G78" s="65"/>
    </row>
    <row r="79" spans="2:7" outlineLevel="1">
      <c r="B79" s="92">
        <f t="shared" si="1"/>
        <v>2024</v>
      </c>
      <c r="C79" s="102">
        <f t="shared" si="2"/>
        <v>1</v>
      </c>
      <c r="D79" s="94"/>
      <c r="E79" s="187"/>
      <c r="F79" s="185"/>
      <c r="G79" s="65"/>
    </row>
    <row r="80" spans="2:7" outlineLevel="1">
      <c r="B80" s="92" t="str">
        <f t="shared" si="1"/>
        <v>N/A</v>
      </c>
      <c r="C80" s="102">
        <f t="shared" si="2"/>
        <v>1</v>
      </c>
      <c r="D80" s="94"/>
      <c r="E80" s="187"/>
      <c r="F80" s="185"/>
      <c r="G80" s="65"/>
    </row>
    <row r="81" spans="2:7" outlineLevel="1">
      <c r="B81" s="92" t="str">
        <f t="shared" si="1"/>
        <v>N/A</v>
      </c>
      <c r="C81" s="102">
        <f t="shared" si="2"/>
        <v>1</v>
      </c>
      <c r="D81" s="94"/>
      <c r="E81" s="187"/>
      <c r="F81" s="185"/>
      <c r="G81" s="65"/>
    </row>
    <row r="82" spans="2:7" outlineLevel="1">
      <c r="B82" s="92" t="str">
        <f t="shared" si="1"/>
        <v>N/A</v>
      </c>
      <c r="C82" s="102">
        <f t="shared" si="2"/>
        <v>1</v>
      </c>
      <c r="D82" s="94"/>
      <c r="E82" s="187"/>
      <c r="F82" s="185"/>
      <c r="G82" s="65"/>
    </row>
    <row r="83" spans="2:7" outlineLevel="1">
      <c r="B83" s="92" t="str">
        <f t="shared" si="1"/>
        <v>N/A</v>
      </c>
      <c r="C83" s="102">
        <f t="shared" si="2"/>
        <v>1</v>
      </c>
      <c r="D83" s="94"/>
      <c r="E83" s="187"/>
      <c r="F83" s="185"/>
      <c r="G83" s="65"/>
    </row>
    <row r="84" spans="2:7" outlineLevel="1">
      <c r="B84" s="92" t="str">
        <f t="shared" si="1"/>
        <v>N/A</v>
      </c>
      <c r="C84" s="102">
        <f t="shared" si="2"/>
        <v>1</v>
      </c>
      <c r="D84" s="94"/>
      <c r="E84" s="187"/>
      <c r="F84" s="185"/>
      <c r="G84" s="65"/>
    </row>
    <row r="85" spans="2:7" outlineLevel="1">
      <c r="E85" s="65"/>
      <c r="F85" s="65"/>
      <c r="G85" s="65"/>
    </row>
    <row r="86" spans="2:7" outlineLevel="1">
      <c r="B86" s="76" t="s">
        <v>28</v>
      </c>
      <c r="C86" s="76"/>
      <c r="D86" s="76"/>
      <c r="E86" s="65" t="s">
        <v>298</v>
      </c>
      <c r="F86" s="65"/>
      <c r="G86" s="65"/>
    </row>
    <row r="87" spans="2:7" outlineLevel="1">
      <c r="B87" s="76" t="s">
        <v>21</v>
      </c>
      <c r="C87" s="103" t="s">
        <v>147</v>
      </c>
      <c r="D87" s="76"/>
      <c r="E87" s="65"/>
      <c r="F87" s="65"/>
      <c r="G87" s="65"/>
    </row>
    <row r="88" spans="2:7" outlineLevel="1">
      <c r="B88" s="72">
        <f t="shared" ref="B88:B97" si="3">B19</f>
        <v>2020</v>
      </c>
      <c r="C88" s="83">
        <v>0</v>
      </c>
      <c r="D88" s="65"/>
      <c r="E88" s="65"/>
      <c r="F88" s="65"/>
      <c r="G88" s="65"/>
    </row>
    <row r="89" spans="2:7" outlineLevel="1">
      <c r="B89" s="72">
        <f t="shared" si="3"/>
        <v>2021</v>
      </c>
      <c r="C89" s="83">
        <v>0</v>
      </c>
      <c r="D89" s="65"/>
      <c r="E89" s="65"/>
      <c r="F89" s="65"/>
      <c r="G89" s="65"/>
    </row>
    <row r="90" spans="2:7" outlineLevel="1">
      <c r="B90" s="72">
        <f t="shared" si="3"/>
        <v>2022</v>
      </c>
      <c r="C90" s="83">
        <v>0</v>
      </c>
      <c r="D90" s="65"/>
      <c r="E90" s="65"/>
      <c r="F90" s="65"/>
      <c r="G90" s="65"/>
    </row>
    <row r="91" spans="2:7" outlineLevel="1">
      <c r="B91" s="72">
        <f t="shared" si="3"/>
        <v>2023</v>
      </c>
      <c r="C91" s="83">
        <v>0</v>
      </c>
      <c r="D91" s="65"/>
      <c r="E91" s="65"/>
      <c r="F91" s="65"/>
      <c r="G91" s="65"/>
    </row>
    <row r="92" spans="2:7" outlineLevel="1">
      <c r="B92" s="72">
        <f t="shared" si="3"/>
        <v>2024</v>
      </c>
      <c r="C92" s="83">
        <v>0</v>
      </c>
      <c r="D92" s="65"/>
      <c r="E92" s="65"/>
      <c r="F92" s="65"/>
      <c r="G92" s="65"/>
    </row>
    <row r="93" spans="2:7" outlineLevel="1">
      <c r="B93" s="72" t="str">
        <f t="shared" si="3"/>
        <v>N/A</v>
      </c>
      <c r="C93" s="83">
        <v>0</v>
      </c>
      <c r="D93" s="65"/>
      <c r="E93" s="65"/>
      <c r="F93" s="65"/>
      <c r="G93" s="65"/>
    </row>
    <row r="94" spans="2:7" outlineLevel="1">
      <c r="B94" s="72" t="str">
        <f t="shared" si="3"/>
        <v>N/A</v>
      </c>
      <c r="C94" s="83">
        <v>0</v>
      </c>
      <c r="D94" s="65"/>
      <c r="E94" s="65"/>
      <c r="F94" s="65"/>
      <c r="G94" s="65"/>
    </row>
    <row r="95" spans="2:7" outlineLevel="1">
      <c r="B95" s="72" t="str">
        <f t="shared" si="3"/>
        <v>N/A</v>
      </c>
      <c r="C95" s="83">
        <v>0</v>
      </c>
      <c r="D95" s="65"/>
      <c r="E95" s="65"/>
      <c r="F95" s="65"/>
      <c r="G95" s="65"/>
    </row>
    <row r="96" spans="2:7" outlineLevel="1">
      <c r="B96" s="72" t="str">
        <f t="shared" si="3"/>
        <v>N/A</v>
      </c>
      <c r="C96" s="83">
        <v>0</v>
      </c>
      <c r="D96" s="65"/>
      <c r="E96" s="65"/>
      <c r="F96" s="65"/>
      <c r="G96" s="65"/>
    </row>
    <row r="97" spans="1:149" outlineLevel="1">
      <c r="B97" s="72" t="str">
        <f t="shared" si="3"/>
        <v>N/A</v>
      </c>
      <c r="C97" s="83">
        <v>0</v>
      </c>
      <c r="D97" s="65"/>
      <c r="E97" s="65"/>
      <c r="F97" s="65"/>
      <c r="G97" s="65"/>
    </row>
    <row r="98" spans="1:149" outlineLevel="1">
      <c r="E98" s="65"/>
      <c r="F98" s="65"/>
      <c r="G98" s="65"/>
    </row>
    <row r="99" spans="1:149" outlineLevel="1">
      <c r="B99" s="76" t="s">
        <v>148</v>
      </c>
      <c r="C99" s="76"/>
      <c r="D99" s="76"/>
      <c r="E99" s="65" t="s">
        <v>149</v>
      </c>
      <c r="F99" s="65"/>
      <c r="G99" s="65"/>
    </row>
    <row r="100" spans="1:149" outlineLevel="1">
      <c r="B100" s="104" t="s">
        <v>128</v>
      </c>
      <c r="C100" s="105"/>
      <c r="D100" s="106" t="s">
        <v>249</v>
      </c>
      <c r="E100" s="65" t="s">
        <v>200</v>
      </c>
      <c r="F100" s="65"/>
      <c r="G100" s="65"/>
    </row>
    <row r="101" spans="1:149" outlineLevel="1">
      <c r="B101" s="104" t="s">
        <v>129</v>
      </c>
      <c r="C101" s="105"/>
      <c r="D101" s="106" t="s">
        <v>190</v>
      </c>
      <c r="E101" s="65" t="s">
        <v>130</v>
      </c>
      <c r="F101" s="65"/>
      <c r="G101" s="65"/>
    </row>
    <row r="102" spans="1:149" outlineLevel="1">
      <c r="B102" s="107" t="s">
        <v>35</v>
      </c>
      <c r="C102" s="107"/>
      <c r="D102" s="108">
        <v>0.95</v>
      </c>
      <c r="E102" s="65" t="s">
        <v>126</v>
      </c>
      <c r="F102" s="65"/>
      <c r="G102" s="65"/>
    </row>
    <row r="103" spans="1:149" outlineLevel="1">
      <c r="B103" s="107" t="s">
        <v>169</v>
      </c>
      <c r="C103" s="107"/>
      <c r="D103" s="109">
        <v>0</v>
      </c>
      <c r="E103" s="68" t="s">
        <v>33</v>
      </c>
      <c r="F103" s="68"/>
      <c r="G103" s="68"/>
    </row>
    <row r="104" spans="1:149" outlineLevel="1"/>
    <row r="105" spans="1:149" ht="18" outlineLevel="1">
      <c r="B105" s="159" t="s">
        <v>153</v>
      </c>
      <c r="C105" s="160"/>
    </row>
    <row r="106" spans="1:149" outlineLevel="1"/>
    <row r="110" spans="1:149" s="9" customFormat="1">
      <c r="A110" s="127" t="s">
        <v>171</v>
      </c>
      <c r="B110" s="128" t="s">
        <v>57</v>
      </c>
      <c r="C110" s="127"/>
      <c r="D110" s="127"/>
    </row>
    <row r="111" spans="1:149" s="3" customFormat="1" ht="31.05" hidden="1" customHeight="1" outlineLevel="1">
      <c r="A111" s="9"/>
      <c r="B111" s="190" t="s">
        <v>253</v>
      </c>
      <c r="C111" s="191"/>
      <c r="D111" s="157" t="s">
        <v>249</v>
      </c>
      <c r="E111" s="158" t="s">
        <v>210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</row>
    <row r="112" spans="1:149" s="9" customFormat="1" hidden="1" outlineLevel="1">
      <c r="B112" s="61" t="s">
        <v>88</v>
      </c>
      <c r="C112" s="114"/>
      <c r="D112" s="61"/>
      <c r="E112" s="77"/>
    </row>
    <row r="113" spans="2:10" s="9" customFormat="1" hidden="1" outlineLevel="1">
      <c r="B113" s="63" t="s">
        <v>89</v>
      </c>
      <c r="C113" s="63"/>
      <c r="D113" s="81" t="s">
        <v>182</v>
      </c>
      <c r="E113" s="117" t="s">
        <v>90</v>
      </c>
    </row>
    <row r="114" spans="2:10" s="9" customFormat="1" hidden="1" outlineLevel="1">
      <c r="B114" s="63" t="s">
        <v>91</v>
      </c>
      <c r="C114" s="63"/>
      <c r="D114" s="111">
        <v>10</v>
      </c>
      <c r="E114" s="65" t="s">
        <v>293</v>
      </c>
    </row>
    <row r="115" spans="2:10" s="9" customFormat="1" hidden="1" outlineLevel="1">
      <c r="B115" s="63" t="s">
        <v>7</v>
      </c>
      <c r="C115" s="63"/>
      <c r="D115" s="112">
        <v>2012</v>
      </c>
      <c r="E115" s="65" t="s">
        <v>233</v>
      </c>
    </row>
    <row r="116" spans="2:10" s="9" customFormat="1" hidden="1" outlineLevel="1">
      <c r="B116" s="63" t="s">
        <v>185</v>
      </c>
      <c r="C116" s="63"/>
      <c r="D116" s="113">
        <f>D115+D114-1</f>
        <v>2021</v>
      </c>
      <c r="E116" s="65" t="s">
        <v>127</v>
      </c>
    </row>
    <row r="117" spans="2:10" s="9" customFormat="1" hidden="1" outlineLevel="1">
      <c r="B117" s="63" t="s">
        <v>186</v>
      </c>
      <c r="C117" s="63"/>
      <c r="D117" s="81"/>
      <c r="E117" s="65" t="s">
        <v>213</v>
      </c>
    </row>
    <row r="118" spans="2:10" s="9" customFormat="1" hidden="1" outlineLevel="1">
      <c r="B118" s="63" t="s">
        <v>172</v>
      </c>
      <c r="C118" s="63"/>
      <c r="D118" s="81"/>
      <c r="E118" s="65" t="s">
        <v>299</v>
      </c>
    </row>
    <row r="119" spans="2:10" s="9" customFormat="1" hidden="1" outlineLevel="1">
      <c r="B119" s="73" t="s">
        <v>132</v>
      </c>
      <c r="C119" s="73"/>
      <c r="D119" s="70">
        <v>4</v>
      </c>
      <c r="E119" s="65" t="s">
        <v>209</v>
      </c>
    </row>
    <row r="120" spans="2:10" s="9" customFormat="1" ht="14.4" hidden="1" outlineLevel="1"/>
    <row r="121" spans="2:10" s="9" customFormat="1" ht="31.2" hidden="1" outlineLevel="1">
      <c r="B121" s="76" t="s">
        <v>220</v>
      </c>
      <c r="C121" s="76"/>
      <c r="E121" s="119" t="s">
        <v>300</v>
      </c>
    </row>
    <row r="122" spans="2:10" s="9" customFormat="1" hidden="1" outlineLevel="1">
      <c r="B122" s="115" t="s">
        <v>133</v>
      </c>
      <c r="C122" s="116" t="s">
        <v>255</v>
      </c>
      <c r="D122" s="115" t="s">
        <v>254</v>
      </c>
      <c r="E122" s="8"/>
    </row>
    <row r="123" spans="2:10" s="9" customFormat="1" hidden="1" outlineLevel="1">
      <c r="B123" s="78">
        <f>D115</f>
        <v>2012</v>
      </c>
      <c r="C123" s="146">
        <f>D123</f>
        <v>0</v>
      </c>
      <c r="D123" s="145"/>
      <c r="E123" s="23"/>
    </row>
    <row r="124" spans="2:10" s="9" customFormat="1" hidden="1" outlineLevel="1">
      <c r="B124" s="72">
        <f>IF(B$123+1&gt;D$116,"N/A",B$123+1)</f>
        <v>2013</v>
      </c>
      <c r="C124" s="147">
        <f>IF(D119=1,D124,IF(D119=2,D123+D124,D123+D124))</f>
        <v>0</v>
      </c>
      <c r="D124" s="145"/>
      <c r="E124" s="23"/>
      <c r="F124" s="120"/>
      <c r="G124" s="120"/>
      <c r="H124" s="120"/>
      <c r="I124" s="120"/>
      <c r="J124" s="120"/>
    </row>
    <row r="125" spans="2:10" s="9" customFormat="1" hidden="1" outlineLevel="1">
      <c r="B125" s="72">
        <f>IF(B$123+2&gt;D$116,"N/A",B$123+2)</f>
        <v>2014</v>
      </c>
      <c r="C125" s="147">
        <f>IF(D119=1,D125,IF(D119=2,D124+D125,IF(D119=3,D123+D124+D125,D123+D124+D125)))</f>
        <v>0</v>
      </c>
      <c r="D125" s="145"/>
      <c r="E125" s="23"/>
      <c r="F125" s="120"/>
      <c r="G125" s="120"/>
      <c r="H125" s="120"/>
      <c r="I125" s="120"/>
      <c r="J125" s="120"/>
    </row>
    <row r="126" spans="2:10" s="9" customFormat="1" hidden="1" outlineLevel="1">
      <c r="B126" s="72">
        <f>IF(B$123+3&gt;D$116,"N/A",B$123+3)</f>
        <v>2015</v>
      </c>
      <c r="C126" s="147">
        <f>IF(D119=1,D126,IF(D119=2,D125+D126,IF(D119=3,D124+D125+D126,IF(D119=4,D123+D124+D125+D126,D123+D124+D125+D126))))</f>
        <v>0</v>
      </c>
      <c r="D126" s="145"/>
      <c r="E126" s="23"/>
      <c r="F126" s="120"/>
      <c r="G126" s="120"/>
      <c r="H126" s="120"/>
      <c r="I126" s="120"/>
      <c r="J126" s="120"/>
    </row>
    <row r="127" spans="2:10" s="9" customFormat="1" hidden="1" outlineLevel="1">
      <c r="B127" s="72">
        <f>IF(B$123+4&gt;D$116,"N/A",B$123+4)</f>
        <v>2016</v>
      </c>
      <c r="C127" s="147">
        <f>IF(D119=1,D127,IF(D119=2,D126+D127,IF(D119=3,D125+D126+D127,IF(D119=4,D124+D125+D126+D127,IF(D119=5,D123+D124+D125+D126+D127,D123+D124+D125+D126+D127)))))</f>
        <v>0</v>
      </c>
      <c r="D127" s="145"/>
      <c r="E127" s="23"/>
      <c r="F127" s="120"/>
      <c r="G127" s="120"/>
      <c r="H127" s="120"/>
      <c r="I127" s="120"/>
      <c r="J127" s="120"/>
    </row>
    <row r="128" spans="2:10" s="9" customFormat="1" hidden="1" outlineLevel="1">
      <c r="B128" s="72">
        <f>IF(B$123+5&gt;D$116,"N/A",B$123+5)</f>
        <v>2017</v>
      </c>
      <c r="C128" s="147">
        <f>IF(D119=1,D128,IF(D119=2,D127+D128,IF(D119=3,D126+D127+D128,IF(D119=4,D125+D126+D127+D128,IF(D119=5,D124+D125+D126+D127+D128,IF(D119=6,D123+D124+D125+D126+D127+D128,D123+D124+D125+D126+D127+D128))))))</f>
        <v>0</v>
      </c>
      <c r="D128" s="145"/>
      <c r="E128" s="23"/>
      <c r="F128" s="120"/>
      <c r="G128" s="120"/>
      <c r="H128" s="120"/>
      <c r="I128" s="120"/>
      <c r="J128" s="120"/>
    </row>
    <row r="129" spans="2:11" s="9" customFormat="1" hidden="1" outlineLevel="1">
      <c r="B129" s="72">
        <f>IF(B$123+6&gt;D$116,"N/A",B$123+6)</f>
        <v>2018</v>
      </c>
      <c r="C129" s="147">
        <f>IF(D119=1,D129,IF(D119=2,D128+D129,IF(D119=3,D127+D128+D129,IF(D119=4,D126+D127+D128+D129,IF(D119=5,D125+D126+D127+D128+D129,IF(D119=6,D124+D125+D126+D127+D128+D129,IF(D119=7,D123+D124+D125+D126+D127+D128+D129,D123+D124+D125+D126+D127+D128+D129)))))))</f>
        <v>0</v>
      </c>
      <c r="D129" s="145"/>
      <c r="E129" s="23"/>
      <c r="F129" s="120"/>
      <c r="G129" s="120"/>
      <c r="H129" s="120"/>
      <c r="I129" s="120"/>
      <c r="J129" s="120"/>
    </row>
    <row r="130" spans="2:11" s="9" customFormat="1" hidden="1" outlineLevel="1">
      <c r="B130" s="72">
        <f>IF(B$123+7&gt;D$116,"N/A",B$123+7)</f>
        <v>2019</v>
      </c>
      <c r="C130" s="147">
        <f>IF(D119=1,D130,IF(D119=2,D129+D130,IF(D119=3,D128+D129+D130,IF(D119=4,D127+D128+D129+D130,IF(D119=5,D126+D127+D128+D129+D130,IF(D119=6,D125+D126+D127+D128+D129+D130,IF(D119=7,D124+D125+D126+D127+D128+D129+D130,IF(D119=8,D123+D124+D125+D126+D127+D128+D129+D130,D123+D124+D125+D126+D127+D128+D129+D130))))))))</f>
        <v>0</v>
      </c>
      <c r="D130" s="145"/>
      <c r="E130" s="23"/>
      <c r="F130" s="120"/>
      <c r="G130" s="120"/>
      <c r="H130" s="120"/>
      <c r="I130" s="120"/>
      <c r="J130" s="120"/>
    </row>
    <row r="131" spans="2:11" s="9" customFormat="1" hidden="1" outlineLevel="1">
      <c r="B131" s="72">
        <f>IF(B$123+8&gt;D$116,"N/A",B$123+8)</f>
        <v>2020</v>
      </c>
      <c r="C131" s="147">
        <f>IF(D119=1,D131,IF(D119=2,D130+D131,IF(D119=3,D129+D130+D131,IF(D119=4,D128+D129+D130+D131,IF(D119=5,D127+D128+D129+D130+D131,IF(D119=6,D126+D127+D128+D129+D130+D131,IF(D119=7,D125+D126+D127+D128+D129+D130+D131,IF(D119=8,D124+D125+D126+D127+D128+D129+D130+D131,IF(D119=9,D123+D124+D125+D126+D127+D128+D129+D130+D131,D123+D124+D125+D126+D127+D128+D129+D130+D131)))))))))</f>
        <v>0</v>
      </c>
      <c r="D131" s="145"/>
      <c r="E131" s="23"/>
      <c r="F131" s="120"/>
      <c r="G131" s="120"/>
      <c r="H131" s="120"/>
      <c r="I131" s="120"/>
      <c r="J131" s="120"/>
    </row>
    <row r="132" spans="2:11" s="9" customFormat="1" hidden="1" outlineLevel="1">
      <c r="B132" s="72">
        <f>IF(B$123+9&gt;D$116,"N/A",B$123+9)</f>
        <v>2021</v>
      </c>
      <c r="C132" s="147">
        <f>IF(D119=1,D132,IF(D119=2,D131+D132,IF(D119=3,D130+D131+D132,IF(D119=4,D129+D130+D131+D132,IF(D119=5,D128+D129+D130+D131+D132,IF(D119=6,D127+D128+D129+D130+D131+D132,IF(D119=7,D126+D127+D128+D129+D130+D131+D132,IF(D119=8,D125+D126+D127+D128+D129+D130+D131+D132,IF(D119=9,D124+D125+D126+D127+D128+D129+D130+D131+D132,IF(D119=10,D123+D124+D125+D126+D127+D128+D129+D130+D131+D132,D123+D124+D125+D126+D127+D128+D129+D130+D131+D132))))))))))</f>
        <v>0</v>
      </c>
      <c r="D132" s="145"/>
      <c r="E132" s="121"/>
      <c r="F132" s="122"/>
      <c r="G132" s="122"/>
      <c r="H132" s="122"/>
      <c r="I132" s="122"/>
      <c r="J132" s="122"/>
    </row>
    <row r="133" spans="2:11" s="9" customFormat="1" ht="14.4" hidden="1" outlineLevel="1"/>
    <row r="134" spans="2:11" s="9" customFormat="1" hidden="1" outlineLevel="1">
      <c r="B134" s="76" t="s">
        <v>183</v>
      </c>
      <c r="C134" s="76" t="s">
        <v>135</v>
      </c>
      <c r="D134" s="76" t="s">
        <v>237</v>
      </c>
      <c r="E134" s="65"/>
      <c r="F134" s="19"/>
      <c r="G134" s="19"/>
      <c r="H134" s="19"/>
      <c r="I134" s="19"/>
      <c r="J134" s="19"/>
      <c r="K134" s="19"/>
    </row>
    <row r="135" spans="2:11" s="9" customFormat="1" hidden="1" outlineLevel="1">
      <c r="B135" s="63" t="s">
        <v>137</v>
      </c>
      <c r="C135" s="63" t="s">
        <v>138</v>
      </c>
      <c r="D135" s="71"/>
      <c r="E135" s="65" t="s">
        <v>163</v>
      </c>
      <c r="F135" s="19"/>
      <c r="G135" s="19"/>
      <c r="H135" s="19"/>
      <c r="I135" s="19"/>
      <c r="J135" s="19"/>
      <c r="K135" s="19"/>
    </row>
    <row r="136" spans="2:11" s="9" customFormat="1" hidden="1" outlineLevel="1">
      <c r="B136" s="63" t="s">
        <v>70</v>
      </c>
      <c r="C136" s="63"/>
      <c r="D136" s="64" t="s">
        <v>131</v>
      </c>
      <c r="E136" s="65" t="s">
        <v>294</v>
      </c>
      <c r="F136" s="19"/>
      <c r="G136" s="19"/>
      <c r="H136" s="19"/>
      <c r="I136" s="19"/>
      <c r="J136" s="19"/>
      <c r="K136" s="19"/>
    </row>
    <row r="137" spans="2:11" s="9" customFormat="1" hidden="1" outlineLevel="1">
      <c r="B137" s="80" t="str">
        <f>BG!D44</f>
        <v>Historical data</v>
      </c>
      <c r="C137" s="63" t="s">
        <v>139</v>
      </c>
      <c r="D137" s="71" t="s">
        <v>261</v>
      </c>
      <c r="E137" s="65" t="s">
        <v>234</v>
      </c>
      <c r="F137" s="19"/>
      <c r="G137" s="19"/>
      <c r="H137" s="19"/>
      <c r="I137" s="19"/>
      <c r="J137" s="19"/>
      <c r="K137" s="19"/>
    </row>
    <row r="138" spans="2:11" s="9" customFormat="1" hidden="1" outlineLevel="1">
      <c r="B138" s="80" t="str">
        <f>BG!D45</f>
        <v>Survey</v>
      </c>
      <c r="C138" s="63" t="s">
        <v>139</v>
      </c>
      <c r="D138" s="71" t="s">
        <v>261</v>
      </c>
      <c r="E138" s="65" t="s">
        <v>264</v>
      </c>
      <c r="F138" s="19"/>
      <c r="G138" s="19"/>
      <c r="H138" s="19"/>
      <c r="I138" s="19"/>
      <c r="J138" s="19"/>
      <c r="K138" s="19"/>
    </row>
    <row r="139" spans="2:11" s="9" customFormat="1" hidden="1" outlineLevel="1">
      <c r="B139" s="80" t="str">
        <f>BG!D46</f>
        <v>Minimum service level</v>
      </c>
      <c r="C139" s="63" t="s">
        <v>140</v>
      </c>
      <c r="D139" s="72">
        <v>0.5</v>
      </c>
      <c r="E139" s="65" t="s">
        <v>184</v>
      </c>
      <c r="F139" s="19"/>
      <c r="G139" s="19"/>
      <c r="H139" s="19"/>
      <c r="I139" s="19"/>
      <c r="J139" s="19"/>
      <c r="K139" s="19"/>
    </row>
    <row r="140" spans="2:11" s="9" customFormat="1" hidden="1" outlineLevel="1">
      <c r="B140" s="80" t="str">
        <f>BG!D47</f>
        <v>Field Performance test</v>
      </c>
      <c r="C140" s="63" t="s">
        <v>139</v>
      </c>
      <c r="D140" s="71" t="s">
        <v>141</v>
      </c>
      <c r="E140" s="65" t="s">
        <v>92</v>
      </c>
      <c r="F140" s="19"/>
      <c r="G140" s="19"/>
      <c r="H140" s="19"/>
      <c r="I140" s="19"/>
      <c r="J140" s="19"/>
      <c r="K140" s="19"/>
    </row>
    <row r="141" spans="2:11" s="9" customFormat="1" hidden="1" outlineLevel="1">
      <c r="B141" s="73" t="s">
        <v>46</v>
      </c>
      <c r="C141" s="66" t="s">
        <v>164</v>
      </c>
      <c r="D141" s="73">
        <f>IF(D136="Minimum Service Level",D139*D135,IF(D136="Historical data",$D$137,IF(D136="Survey",$D$138,IF(D136="Field Performance test",$D$140))))</f>
        <v>0</v>
      </c>
      <c r="E141" s="65" t="s">
        <v>127</v>
      </c>
      <c r="F141" s="19"/>
      <c r="G141" s="19"/>
      <c r="H141" s="19"/>
      <c r="I141" s="19"/>
      <c r="J141" s="19"/>
      <c r="K141" s="19"/>
    </row>
    <row r="142" spans="2:11" s="9" customFormat="1" ht="14.4" hidden="1" outlineLevel="1">
      <c r="F142" s="19"/>
      <c r="G142" s="19"/>
      <c r="H142" s="19"/>
      <c r="I142" s="19"/>
      <c r="J142" s="19"/>
      <c r="K142" s="19"/>
    </row>
    <row r="143" spans="2:11" s="9" customFormat="1" hidden="1" outlineLevel="1">
      <c r="B143" s="76" t="s">
        <v>165</v>
      </c>
      <c r="C143" s="76"/>
      <c r="D143" s="76"/>
      <c r="E143" s="65"/>
      <c r="F143" s="19"/>
      <c r="G143" s="19"/>
      <c r="H143" s="19"/>
      <c r="I143" s="19"/>
      <c r="J143" s="19"/>
      <c r="K143" s="19"/>
    </row>
    <row r="144" spans="2:11" s="9" customFormat="1" hidden="1" outlineLevel="1">
      <c r="B144" s="63" t="s">
        <v>238</v>
      </c>
      <c r="C144" s="63"/>
      <c r="D144" s="64" t="s">
        <v>190</v>
      </c>
      <c r="E144" s="65" t="s">
        <v>260</v>
      </c>
      <c r="F144" s="19"/>
      <c r="G144" s="19"/>
      <c r="H144" s="19"/>
      <c r="I144" s="19"/>
      <c r="J144" s="19"/>
      <c r="K144" s="19"/>
    </row>
    <row r="145" spans="1:149" s="9" customFormat="1" hidden="1" outlineLevel="1">
      <c r="B145" s="63" t="s">
        <v>239</v>
      </c>
      <c r="C145" s="63"/>
      <c r="D145" s="144" t="s">
        <v>2</v>
      </c>
      <c r="E145" s="65" t="s">
        <v>241</v>
      </c>
      <c r="F145" s="19"/>
      <c r="G145" s="19"/>
      <c r="H145" s="19"/>
      <c r="I145" s="19"/>
      <c r="J145" s="19"/>
      <c r="K145" s="19"/>
    </row>
    <row r="146" spans="1:149" s="3" customFormat="1" hidden="1" outlineLevel="1">
      <c r="A146" s="9"/>
      <c r="B146" s="63" t="s">
        <v>242</v>
      </c>
      <c r="C146" s="63" t="s">
        <v>166</v>
      </c>
      <c r="D146" s="148">
        <f>IF(D144="Default",BG!D35,D145)</f>
        <v>0.1</v>
      </c>
      <c r="E146" s="65"/>
      <c r="F146" s="19"/>
      <c r="G146" s="19"/>
      <c r="H146" s="19"/>
      <c r="I146" s="19"/>
      <c r="J146" s="19"/>
      <c r="K146" s="1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</row>
    <row r="147" spans="1:149" s="3" customFormat="1" hidden="1" outlineLevel="1">
      <c r="A147" s="9"/>
      <c r="B147" s="63"/>
      <c r="C147" s="63"/>
      <c r="D147" s="148"/>
      <c r="E147" s="65"/>
      <c r="F147" s="19"/>
      <c r="G147" s="19"/>
      <c r="H147" s="19"/>
      <c r="I147" s="19"/>
      <c r="J147" s="19"/>
      <c r="K147" s="1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</row>
    <row r="148" spans="1:149" hidden="1" outlineLevel="1">
      <c r="F148" s="77"/>
      <c r="G148" s="77"/>
      <c r="H148" s="77"/>
      <c r="I148" s="77"/>
      <c r="J148" s="77"/>
      <c r="K148" s="77"/>
    </row>
    <row r="149" spans="1:149" s="3" customFormat="1" hidden="1" outlineLevel="1">
      <c r="A149" s="9"/>
      <c r="B149" s="149" t="s">
        <v>246</v>
      </c>
      <c r="C149" s="63"/>
      <c r="D149" s="63"/>
      <c r="E149" s="65"/>
      <c r="F149" s="19"/>
      <c r="G149" s="19"/>
      <c r="H149" s="19"/>
      <c r="I149" s="19"/>
      <c r="J149" s="19"/>
      <c r="K149" s="1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</row>
    <row r="150" spans="1:149" s="3" customFormat="1" hidden="1" outlineLevel="1">
      <c r="A150" s="9"/>
      <c r="B150" s="63" t="s">
        <v>245</v>
      </c>
      <c r="C150" s="63"/>
      <c r="D150" s="83" t="s">
        <v>291</v>
      </c>
      <c r="E150" s="65" t="s">
        <v>211</v>
      </c>
      <c r="F150" s="19"/>
      <c r="G150" s="19"/>
      <c r="H150" s="19"/>
      <c r="I150" s="19"/>
      <c r="J150" s="19"/>
      <c r="K150" s="1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</row>
    <row r="151" spans="1:149" s="3" customFormat="1" hidden="1" outlineLevel="1">
      <c r="A151" s="9"/>
      <c r="B151" s="63" t="s">
        <v>240</v>
      </c>
      <c r="C151" s="63"/>
      <c r="D151" s="82">
        <f>IF(D111="No",D146,D150)</f>
        <v>0.1</v>
      </c>
      <c r="E151" s="65"/>
      <c r="F151" s="19"/>
      <c r="G151" s="19"/>
      <c r="H151" s="19"/>
      <c r="I151" s="19"/>
      <c r="J151" s="19"/>
      <c r="K151" s="1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</row>
    <row r="152" spans="1:149" s="3" customFormat="1" hidden="1" outlineLevel="1">
      <c r="A152" s="9"/>
      <c r="B152" s="63" t="s">
        <v>168</v>
      </c>
      <c r="C152" s="63"/>
      <c r="D152" s="84" t="s">
        <v>190</v>
      </c>
      <c r="E152" s="65"/>
      <c r="F152" s="19"/>
      <c r="G152" s="19"/>
      <c r="H152" s="19"/>
      <c r="I152" s="19"/>
      <c r="J152" s="19"/>
      <c r="K152" s="1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</row>
    <row r="153" spans="1:149" s="3" customFormat="1" hidden="1" outlineLevel="1">
      <c r="A153" s="9"/>
      <c r="B153" s="63" t="s">
        <v>201</v>
      </c>
      <c r="C153" s="148">
        <f>IF(D153="Default",1%, "Not Selected")</f>
        <v>0.01</v>
      </c>
      <c r="D153" s="84" t="s">
        <v>190</v>
      </c>
      <c r="E153" s="65"/>
      <c r="F153" s="19"/>
      <c r="G153" s="19"/>
      <c r="H153" s="19"/>
      <c r="I153" s="19"/>
      <c r="J153" s="19"/>
      <c r="K153" s="1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</row>
    <row r="154" spans="1:149" s="9" customFormat="1" hidden="1" outlineLevel="1">
      <c r="B154" s="86" t="s">
        <v>202</v>
      </c>
      <c r="C154" s="86"/>
      <c r="D154" s="86"/>
      <c r="E154" s="65"/>
      <c r="F154" s="19"/>
      <c r="G154" s="19"/>
      <c r="H154" s="19"/>
      <c r="I154" s="19"/>
      <c r="J154" s="19"/>
      <c r="K154" s="19"/>
    </row>
    <row r="155" spans="1:149" s="9" customFormat="1" hidden="1" outlineLevel="1">
      <c r="B155" s="72">
        <f t="shared" ref="B155:B164" si="4">B123</f>
        <v>2012</v>
      </c>
      <c r="C155" s="143">
        <f>IF($D$111="No",$D$151,IF($D$152="Default",$D$150,IF($D$152="User defined",D155,"Wrong option")))</f>
        <v>0.1</v>
      </c>
      <c r="D155" s="83"/>
      <c r="E155" s="65"/>
      <c r="F155" s="19"/>
      <c r="G155" s="19"/>
      <c r="H155" s="19"/>
      <c r="I155" s="19"/>
      <c r="J155" s="19"/>
      <c r="K155" s="19"/>
    </row>
    <row r="156" spans="1:149" s="9" customFormat="1" hidden="1" outlineLevel="1">
      <c r="B156" s="72">
        <f t="shared" si="4"/>
        <v>2013</v>
      </c>
      <c r="C156" s="143">
        <f>IF($D$111="No",$D$151*99%,IF($D$152="Default",$D$150*99%,IF($D$152="User defined",D156,"Wrong option")))</f>
        <v>9.9000000000000005E-2</v>
      </c>
      <c r="D156" s="83"/>
      <c r="E156" s="65"/>
      <c r="F156" s="19"/>
      <c r="G156" s="19"/>
      <c r="H156" s="19"/>
      <c r="I156" s="19"/>
      <c r="J156" s="19"/>
      <c r="K156" s="19"/>
    </row>
    <row r="157" spans="1:149" s="9" customFormat="1" hidden="1" outlineLevel="1">
      <c r="B157" s="72">
        <f t="shared" si="4"/>
        <v>2014</v>
      </c>
      <c r="C157" s="143">
        <f>IF($D$111="No",$D$151*98%,IF($D$152="Default",$D$150*98%,IF($D$152="User defined",D157,"Wrong option")))</f>
        <v>9.8000000000000004E-2</v>
      </c>
      <c r="D157" s="83"/>
      <c r="E157" s="65"/>
      <c r="F157" s="19"/>
      <c r="G157" s="19"/>
      <c r="H157" s="19"/>
      <c r="I157" s="19"/>
      <c r="J157" s="19"/>
      <c r="K157" s="19"/>
    </row>
    <row r="158" spans="1:149" s="9" customFormat="1" hidden="1" outlineLevel="1">
      <c r="B158" s="72">
        <f t="shared" si="4"/>
        <v>2015</v>
      </c>
      <c r="C158" s="143">
        <f>IF($D$111="No",$D$151*97%,IF($D$152="Default",$D$150*97%,IF($D$152="User defined",D158,"Wrong option")))</f>
        <v>9.7000000000000003E-2</v>
      </c>
      <c r="D158" s="83"/>
      <c r="E158" s="65"/>
      <c r="F158" s="19"/>
      <c r="G158" s="19"/>
      <c r="H158" s="19"/>
      <c r="I158" s="19"/>
      <c r="J158" s="19"/>
      <c r="K158" s="19"/>
    </row>
    <row r="159" spans="1:149" s="9" customFormat="1" hidden="1" outlineLevel="1">
      <c r="B159" s="72">
        <f t="shared" si="4"/>
        <v>2016</v>
      </c>
      <c r="C159" s="143">
        <f>IF($D$111="No",$D$151*96%,IF($D$152="Default",$D$150*96%,IF($D$152="User defined",D159,"Wrong option")))</f>
        <v>9.6000000000000002E-2</v>
      </c>
      <c r="D159" s="83"/>
      <c r="E159" s="65"/>
      <c r="F159" s="19"/>
      <c r="G159" s="19"/>
      <c r="H159" s="19"/>
      <c r="I159" s="19"/>
      <c r="J159" s="19"/>
      <c r="K159" s="19"/>
    </row>
    <row r="160" spans="1:149" s="9" customFormat="1" hidden="1" outlineLevel="1">
      <c r="B160" s="72">
        <f t="shared" si="4"/>
        <v>2017</v>
      </c>
      <c r="C160" s="143">
        <f>IF($D$111="No",$D$151*95%,IF($D$152="Default",$D$150*95%,IF($D$152="User defined",D160,"Wrong option")))</f>
        <v>9.5000000000000001E-2</v>
      </c>
      <c r="D160" s="83"/>
      <c r="E160" s="65"/>
      <c r="F160" s="19"/>
      <c r="G160" s="19"/>
      <c r="H160" s="19"/>
      <c r="I160" s="19"/>
      <c r="J160" s="19"/>
      <c r="K160" s="19"/>
    </row>
    <row r="161" spans="2:11" s="9" customFormat="1" hidden="1" outlineLevel="1">
      <c r="B161" s="72">
        <f t="shared" si="4"/>
        <v>2018</v>
      </c>
      <c r="C161" s="143">
        <f>IF($D$111="No",$D$151*94%,IF($D$152="Default",$D$150*94%,IF($D$152="User defined",D161,"Wrong option")))</f>
        <v>9.4E-2</v>
      </c>
      <c r="D161" s="83"/>
      <c r="E161" s="65"/>
      <c r="F161" s="19"/>
      <c r="G161" s="19"/>
      <c r="H161" s="19"/>
      <c r="I161" s="19"/>
      <c r="J161" s="19"/>
      <c r="K161" s="19"/>
    </row>
    <row r="162" spans="2:11" s="9" customFormat="1" hidden="1" outlineLevel="1">
      <c r="B162" s="72">
        <f t="shared" si="4"/>
        <v>2019</v>
      </c>
      <c r="C162" s="143">
        <f>IF($D$111="No",$D$151*93%,IF($D$152="Default",$D$150*93%,IF($D$152="User defined",D162,"Wrong option")))</f>
        <v>9.3000000000000013E-2</v>
      </c>
      <c r="D162" s="83"/>
      <c r="E162" s="65"/>
      <c r="F162" s="19"/>
      <c r="G162" s="19"/>
      <c r="H162" s="19"/>
      <c r="I162" s="19"/>
      <c r="J162" s="19"/>
      <c r="K162" s="19"/>
    </row>
    <row r="163" spans="2:11" s="9" customFormat="1" hidden="1" outlineLevel="1">
      <c r="B163" s="72">
        <f t="shared" si="4"/>
        <v>2020</v>
      </c>
      <c r="C163" s="143">
        <f>IF($D$111="No",$D$151*92%,IF($D$152="Default",$D$150*92%,IF($D$152="User defined",D163,"Wrong option")))</f>
        <v>9.2000000000000012E-2</v>
      </c>
      <c r="D163" s="83"/>
      <c r="E163" s="65"/>
      <c r="F163" s="19"/>
      <c r="G163" s="19"/>
      <c r="H163" s="19"/>
      <c r="I163" s="19"/>
      <c r="J163" s="19"/>
      <c r="K163" s="19"/>
    </row>
    <row r="164" spans="2:11" s="9" customFormat="1" hidden="1" outlineLevel="1">
      <c r="B164" s="72">
        <f t="shared" si="4"/>
        <v>2021</v>
      </c>
      <c r="C164" s="143">
        <f>IF($D$111="No",$D$151*91%,IF($D$152="Default",$D$150*91%,IF($D$152="User defined",D164,"Wrong option")))</f>
        <v>9.1000000000000011E-2</v>
      </c>
      <c r="D164" s="83"/>
      <c r="E164" s="65"/>
      <c r="F164" s="19"/>
      <c r="G164" s="19"/>
      <c r="H164" s="19"/>
      <c r="I164" s="19"/>
      <c r="J164" s="19"/>
      <c r="K164" s="19"/>
    </row>
    <row r="165" spans="2:11" s="9" customFormat="1" ht="14.4" hidden="1" outlineLevel="1">
      <c r="F165" s="19"/>
      <c r="G165" s="19"/>
      <c r="H165" s="19"/>
      <c r="I165" s="19"/>
      <c r="J165" s="19"/>
      <c r="K165" s="19"/>
    </row>
    <row r="166" spans="2:11" s="9" customFormat="1" hidden="1" outlineLevel="1">
      <c r="B166" s="87" t="s">
        <v>48</v>
      </c>
      <c r="C166" s="88"/>
      <c r="D166" s="89"/>
      <c r="E166" s="117"/>
      <c r="F166" s="19"/>
      <c r="G166" s="19"/>
      <c r="H166" s="19"/>
      <c r="I166" s="19"/>
      <c r="J166" s="19"/>
      <c r="K166" s="19"/>
    </row>
    <row r="167" spans="2:11" s="9" customFormat="1" hidden="1" outlineLevel="1">
      <c r="B167" s="91" t="s">
        <v>212</v>
      </c>
      <c r="C167" s="92" t="s">
        <v>94</v>
      </c>
      <c r="D167" s="91" t="s">
        <v>301</v>
      </c>
      <c r="E167" s="65" t="s">
        <v>178</v>
      </c>
      <c r="F167" s="19"/>
      <c r="G167" s="19"/>
      <c r="H167" s="19"/>
      <c r="I167" s="19"/>
      <c r="J167" s="19"/>
      <c r="K167" s="19"/>
    </row>
    <row r="168" spans="2:11" s="9" customFormat="1" hidden="1" outlineLevel="1">
      <c r="B168" s="92">
        <f t="shared" ref="B168:B177" si="5">IF($D$111="Yes",B61,B123)</f>
        <v>2012</v>
      </c>
      <c r="C168" s="93">
        <f>IF($D$111="No",C123*D168,IF(D119&gt;=1,D123*D168,D123*D168))</f>
        <v>0</v>
      </c>
      <c r="D168" s="94"/>
      <c r="E168" s="192" t="s">
        <v>290</v>
      </c>
      <c r="F168" s="19"/>
      <c r="G168" s="19"/>
      <c r="H168" s="19"/>
      <c r="I168" s="19"/>
      <c r="J168" s="19"/>
      <c r="K168" s="19"/>
    </row>
    <row r="169" spans="2:11" s="9" customFormat="1" hidden="1" outlineLevel="1">
      <c r="B169" s="92">
        <f t="shared" si="5"/>
        <v>2013</v>
      </c>
      <c r="C169" s="93">
        <f>IF($D$111="No",C124*D169,IF(D119&lt;=1,D124*D168,IF(D119=2,D123*D169+D124*D168,D123*D169+D124*D168)))</f>
        <v>0</v>
      </c>
      <c r="D169" s="94"/>
      <c r="E169" s="193"/>
      <c r="F169" s="19"/>
      <c r="G169" s="19"/>
      <c r="H169" s="19"/>
      <c r="I169" s="19"/>
      <c r="J169" s="19"/>
      <c r="K169" s="19"/>
    </row>
    <row r="170" spans="2:11" s="9" customFormat="1" hidden="1" outlineLevel="1">
      <c r="B170" s="92">
        <f t="shared" si="5"/>
        <v>2014</v>
      </c>
      <c r="C170" s="93">
        <f>IF($D$111="No",C125*D170,IF(D119&lt;=1,D125*D168,IF(D119=2,D124*D169+D125*D168, IF(D119=3,D123*D170+D124*D169+D125*D168,D123*D170+D124*D169+D125*D168))))</f>
        <v>0</v>
      </c>
      <c r="D170" s="94"/>
      <c r="E170" s="65"/>
      <c r="F170" s="19"/>
      <c r="G170" s="19"/>
      <c r="H170" s="19"/>
      <c r="I170" s="19"/>
      <c r="J170" s="19"/>
      <c r="K170" s="19"/>
    </row>
    <row r="171" spans="2:11" s="9" customFormat="1" hidden="1" outlineLevel="1">
      <c r="B171" s="92">
        <f t="shared" si="5"/>
        <v>2015</v>
      </c>
      <c r="C171" s="93">
        <f>IF($D$111="No",C126*D171,IF(D119&lt;=1,D126*D168,IF(D119=2,D125*D169+D126*D168,IF(D119=3,D124*D170+D125*D169+D126*D168,IF(D119=4,D123*D171+D124*D170+D125*D169+D126*D168,D123*D171+D124*D170+D125*D169+D126*D168)))))</f>
        <v>0</v>
      </c>
      <c r="D171" s="94"/>
      <c r="E171" s="65"/>
      <c r="F171" s="19"/>
      <c r="G171" s="19"/>
      <c r="H171" s="19"/>
      <c r="I171" s="19"/>
      <c r="J171" s="19"/>
      <c r="K171" s="19"/>
    </row>
    <row r="172" spans="2:11" s="9" customFormat="1" hidden="1" outlineLevel="1">
      <c r="B172" s="92">
        <f t="shared" si="5"/>
        <v>2016</v>
      </c>
      <c r="C172" s="93">
        <f>IF($D$111="No",C127*D172,IF(D119&lt;=1,D127*D168,IF(D119=2,D126*D169+D127*D168,IF(D119=3,D125*D170+D126*D169+D127*D168,IF(D119=4,D124*D171+D125*D170+D126*D169+D127*D168,IF(D119=5,D123*D172+D124*D171+D125*D170+D126*D169+D127*D168,D123*D172+D124*D171+D125*D170+D126*D169+D127*D168))))))</f>
        <v>0</v>
      </c>
      <c r="D172" s="94"/>
      <c r="E172" s="65"/>
      <c r="F172" s="19"/>
      <c r="G172" s="19"/>
      <c r="H172" s="19"/>
      <c r="I172" s="19"/>
      <c r="J172" s="19"/>
      <c r="K172" s="19"/>
    </row>
    <row r="173" spans="2:11" s="9" customFormat="1" hidden="1" outlineLevel="1">
      <c r="B173" s="92">
        <f t="shared" si="5"/>
        <v>2017</v>
      </c>
      <c r="C173" s="93">
        <f>IF($D$111="No",C128*D173,IF(D119&lt;=1,D128*D168,IF(D119=2,D127*D169+D128*D168,IF(D119=3,D126*D170+D127*D169+D128*D168,IF(D119=4,D125*D171+D126*D170+D127*D169+D128*D168,IF(D119=5,D124*D172+D125*D171+D126*D170+D127*D169+D128*D168,IF(D119=6,D123*D173+D124*D172+D125*D171+D126*D170+D127*D169+D128*D168,D123*D173+D124*D172+D125*D171+D126*D170+D127*D169+D128*D168)))))))</f>
        <v>0</v>
      </c>
      <c r="D173" s="94"/>
      <c r="E173" s="65"/>
      <c r="F173" s="19"/>
      <c r="G173" s="19"/>
      <c r="H173" s="19"/>
      <c r="I173" s="19"/>
      <c r="J173" s="19"/>
      <c r="K173" s="19"/>
    </row>
    <row r="174" spans="2:11" s="9" customFormat="1" hidden="1" outlineLevel="1">
      <c r="B174" s="92">
        <f t="shared" si="5"/>
        <v>2018</v>
      </c>
      <c r="C174" s="93">
        <f>IF($D$111="No",C129*D174,IF(D119&lt;=1,D129*D168,IF(D119=2,D128*D169+D129*D168,IF(D119=3,D127*D170+D128*D169+D129*D168,IF(D119=4,D126*D171+D127*D170+D128*D169+D129*D168,IF(D119=5,D125*D172+D126*D171+D127*D170+D128*D169+D129*D168,IF(D119=6,D124*D173+D125*D172+D126*D171+D127*D170+D128*D169+D129*D168,IF(D119=7,D123*D174+D124*D173+D125*D172+D126*D171+D127*D170+D128*D169+D129*D168,D123*D174+D124*D173+D125*D172+D126*D171+D127*D170+D128*D169+D129*D168))))))))</f>
        <v>0</v>
      </c>
      <c r="D174" s="94"/>
      <c r="E174" s="65"/>
      <c r="F174" s="19"/>
      <c r="G174" s="19"/>
      <c r="H174" s="19"/>
      <c r="I174" s="19"/>
      <c r="J174" s="19"/>
      <c r="K174" s="19"/>
    </row>
    <row r="175" spans="2:11" s="9" customFormat="1" hidden="1" outlineLevel="1">
      <c r="B175" s="92">
        <f t="shared" si="5"/>
        <v>2019</v>
      </c>
      <c r="C175" s="93">
        <f>IF($D$111="No",C130*D175,IF(D119&lt;=1,D130*D168,IF(D119=2,D129*D169+D130*D168,IF(D119=3,D128*D170+D129*D169+D130*D168,IF(D119=4,D127*D171+D128*D170+D129*D169+D130*D168,IF(D119=5,D126*D172+D127*D171+D128*D170+D129*D169+D130*D168,IF(D119=6,D125*D173+D126*D172+D127*D171+D128*D170+D129*D169+D130*D168,IF(D119=7,D124*D174+D125*D173+D126*D172+D127*D171+D128*D170+D129*D169+D130*D168,IF(D119=8,D123*D175+D124*D174+D125*D173+D126*D172+D127*D171+D128*D170+D129*D169+D130*D168,D123*D175+D124*D174+D125*D173+D126*D172+D127*D171+D128*D170+D129*D169+D130*D168)))))))))</f>
        <v>0</v>
      </c>
      <c r="D175" s="94"/>
      <c r="E175" s="65"/>
      <c r="F175" s="19"/>
      <c r="G175" s="19"/>
      <c r="H175" s="19"/>
      <c r="I175" s="19"/>
      <c r="J175" s="19"/>
      <c r="K175" s="19"/>
    </row>
    <row r="176" spans="2:11" s="9" customFormat="1" hidden="1" outlineLevel="1">
      <c r="B176" s="92">
        <f t="shared" si="5"/>
        <v>2020</v>
      </c>
      <c r="C176" s="93">
        <f>IF($D$111="No",C131*D176,IF(D119&lt;=1,D131*D168,IF(D119=2,D130*D169+D131*D168,IF(D119=3,D129*D170+D130*D168+D131*D168,IF(D119=4,D128*D171+D129*D170+D130*D169+D131*D168,IF(D119=5,D127*D172+D128*D171+D129*D170+D130*D169+D131*D168,IF(D119=6,D126*D173+D127*D172+D128*D171+D129*D170+D130*D169+D131*D168,IF(D119=7,D125*D174+D126*D173+D127*D172+D128*D171+D129*D170+D130*D169+D131*D168,IF(D119=8,D124*D175+D125*D174+D126*D173+D127*D172+D128*D171+D129*D170+D130*D169+D131*D168,IF(D119=9,D123*D176+D124*D175+D125*D174+D126*D173+D127*D172+D128*D171+D129*D170+D130*D169+D131*D168,D123*D176+D124*D175+D125*D174+D126*D173+D127*D172+D128*D171+D129*D170+D130*D169+D131*D168))))))))))</f>
        <v>0</v>
      </c>
      <c r="D176" s="94"/>
      <c r="E176" s="65"/>
      <c r="F176" s="19"/>
      <c r="G176" s="19"/>
      <c r="H176" s="19"/>
      <c r="I176" s="19"/>
      <c r="J176" s="19"/>
      <c r="K176" s="19"/>
    </row>
    <row r="177" spans="2:11" s="9" customFormat="1" hidden="1" outlineLevel="1">
      <c r="B177" s="92">
        <f t="shared" si="5"/>
        <v>2021</v>
      </c>
      <c r="C177" s="93">
        <f>IF($D$111="No",C132*D177,IF(D119&lt;=1,D132*D168,IF(D119=2,D131*D169+D132*D168,IF(D119=3,D130*D170+D131*D169+D132*D168,IF(D119=4,D129*D171+D130*D170+D131*D169+D132*D168,IF(D119=5,D128*D172+D129*D171+D130*D170+D131*D169+D132*D168,IF(D119=6,D127*D173+D128*D172+D129*D171+D130*D170+D131*D169+D132*D168,IF(D119=7,D126*D174+D127*D173+D128*D172+D129*D171+D130*D170+D131*D169+D132*D168,IF(D119=8,D125*D175+D126*D174+D127*D173+D128*D172+D129*D171+D130*D170+D131*D169+D132*D168,IF(D119=9,D124*D176+D125*D175+D126*D174+D127*D173+D128*D172+D129*D171+D130*D170+D131*D169+D132*D168,IF(D119=10,D123*D177+D124*D176+D125*D175+D126*D174+D127*D173+D128*D172+D129*D171+D130*D170+D131*D169+D132*D168,D123*D177+D124*D176+D125*D175+D126*D174+D127*D173+D128*D172+D129*D171+D130*D170+D131*D169+D132*D168)))))))))))</f>
        <v>0</v>
      </c>
      <c r="D177" s="94"/>
      <c r="E177" s="65"/>
      <c r="F177" s="19"/>
      <c r="G177" s="19"/>
      <c r="H177" s="19"/>
      <c r="I177" s="19"/>
      <c r="J177" s="19"/>
      <c r="K177" s="19"/>
    </row>
    <row r="178" spans="2:11" s="9" customFormat="1" ht="14.4" hidden="1" outlineLevel="1">
      <c r="F178" s="19"/>
      <c r="G178" s="19"/>
      <c r="H178" s="19"/>
      <c r="I178" s="19"/>
      <c r="J178" s="19"/>
      <c r="K178" s="19"/>
    </row>
    <row r="179" spans="2:11" s="9" customFormat="1" hidden="1" outlineLevel="1">
      <c r="B179" s="76" t="s">
        <v>28</v>
      </c>
      <c r="C179" s="76"/>
      <c r="D179" s="76"/>
      <c r="E179" s="65" t="s">
        <v>298</v>
      </c>
      <c r="F179" s="19"/>
      <c r="G179" s="19"/>
      <c r="H179" s="19"/>
      <c r="I179" s="19"/>
      <c r="J179" s="19"/>
      <c r="K179" s="19"/>
    </row>
    <row r="180" spans="2:11" s="9" customFormat="1" hidden="1" outlineLevel="1">
      <c r="B180" s="76" t="s">
        <v>133</v>
      </c>
      <c r="C180" s="103" t="s">
        <v>237</v>
      </c>
      <c r="D180" s="76"/>
      <c r="E180" s="65"/>
      <c r="F180" s="19"/>
      <c r="G180" s="19"/>
      <c r="H180" s="19"/>
      <c r="I180" s="19"/>
      <c r="J180" s="19"/>
      <c r="K180" s="19"/>
    </row>
    <row r="181" spans="2:11" s="9" customFormat="1" hidden="1" outlineLevel="1">
      <c r="B181" s="72">
        <f>B123</f>
        <v>2012</v>
      </c>
      <c r="C181" s="83"/>
      <c r="D181" s="65"/>
      <c r="E181" s="65"/>
      <c r="F181" s="19"/>
      <c r="G181" s="19"/>
      <c r="H181" s="19"/>
      <c r="I181" s="19"/>
      <c r="J181" s="19"/>
      <c r="K181" s="19"/>
    </row>
    <row r="182" spans="2:11" s="9" customFormat="1" hidden="1" outlineLevel="1">
      <c r="B182" s="72">
        <f t="shared" ref="B182:B190" si="6">B124</f>
        <v>2013</v>
      </c>
      <c r="C182" s="83"/>
      <c r="D182" s="65"/>
      <c r="E182" s="65"/>
      <c r="F182" s="19"/>
      <c r="G182" s="19"/>
      <c r="H182" s="19"/>
      <c r="I182" s="19"/>
      <c r="J182" s="19"/>
      <c r="K182" s="19"/>
    </row>
    <row r="183" spans="2:11" s="9" customFormat="1" hidden="1" outlineLevel="1">
      <c r="B183" s="72">
        <f t="shared" si="6"/>
        <v>2014</v>
      </c>
      <c r="C183" s="83"/>
      <c r="D183" s="65"/>
      <c r="E183" s="65"/>
      <c r="F183" s="19"/>
      <c r="G183" s="19"/>
      <c r="H183" s="19"/>
      <c r="I183" s="19"/>
      <c r="J183" s="19"/>
      <c r="K183" s="19"/>
    </row>
    <row r="184" spans="2:11" s="9" customFormat="1" hidden="1" outlineLevel="1">
      <c r="B184" s="72">
        <f t="shared" si="6"/>
        <v>2015</v>
      </c>
      <c r="C184" s="83"/>
      <c r="D184" s="65"/>
      <c r="E184" s="65"/>
      <c r="F184" s="19"/>
      <c r="G184" s="19"/>
      <c r="H184" s="19"/>
      <c r="I184" s="19"/>
      <c r="J184" s="19"/>
      <c r="K184" s="19"/>
    </row>
    <row r="185" spans="2:11" s="9" customFormat="1" hidden="1" outlineLevel="1">
      <c r="B185" s="72">
        <f t="shared" si="6"/>
        <v>2016</v>
      </c>
      <c r="C185" s="83"/>
      <c r="D185" s="65"/>
      <c r="E185" s="65"/>
      <c r="F185" s="19"/>
      <c r="G185" s="19"/>
      <c r="H185" s="19"/>
      <c r="I185" s="19"/>
      <c r="J185" s="19"/>
      <c r="K185" s="19"/>
    </row>
    <row r="186" spans="2:11" s="9" customFormat="1" hidden="1" outlineLevel="1">
      <c r="B186" s="72">
        <f t="shared" si="6"/>
        <v>2017</v>
      </c>
      <c r="C186" s="83"/>
      <c r="D186" s="65"/>
      <c r="E186" s="65"/>
      <c r="F186" s="19"/>
      <c r="G186" s="19"/>
      <c r="H186" s="19"/>
      <c r="I186" s="19"/>
      <c r="J186" s="19"/>
      <c r="K186" s="19"/>
    </row>
    <row r="187" spans="2:11" s="9" customFormat="1" hidden="1" outlineLevel="1">
      <c r="B187" s="72">
        <f t="shared" si="6"/>
        <v>2018</v>
      </c>
      <c r="C187" s="83"/>
      <c r="D187" s="65"/>
      <c r="E187" s="65"/>
      <c r="F187" s="19"/>
      <c r="G187" s="19"/>
      <c r="H187" s="19"/>
      <c r="I187" s="19"/>
      <c r="J187" s="19"/>
      <c r="K187" s="19"/>
    </row>
    <row r="188" spans="2:11" s="9" customFormat="1" hidden="1" outlineLevel="1">
      <c r="B188" s="72">
        <f t="shared" si="6"/>
        <v>2019</v>
      </c>
      <c r="C188" s="83"/>
      <c r="D188" s="65"/>
      <c r="E188" s="65"/>
      <c r="F188" s="19"/>
      <c r="G188" s="19"/>
      <c r="H188" s="19"/>
      <c r="I188" s="19"/>
      <c r="J188" s="19"/>
      <c r="K188" s="19"/>
    </row>
    <row r="189" spans="2:11" s="9" customFormat="1" hidden="1" outlineLevel="1">
      <c r="B189" s="72">
        <f t="shared" si="6"/>
        <v>2020</v>
      </c>
      <c r="C189" s="83"/>
      <c r="D189" s="65"/>
      <c r="E189" s="65"/>
      <c r="F189" s="19"/>
      <c r="G189" s="19"/>
      <c r="H189" s="19"/>
      <c r="I189" s="19"/>
      <c r="J189" s="19"/>
      <c r="K189" s="19"/>
    </row>
    <row r="190" spans="2:11" s="9" customFormat="1" hidden="1" outlineLevel="1">
      <c r="B190" s="72">
        <f t="shared" si="6"/>
        <v>2021</v>
      </c>
      <c r="C190" s="83"/>
      <c r="D190" s="65"/>
      <c r="E190" s="65"/>
      <c r="F190" s="19"/>
      <c r="G190" s="19"/>
      <c r="H190" s="19"/>
      <c r="I190" s="19"/>
      <c r="J190" s="19"/>
      <c r="K190" s="19"/>
    </row>
    <row r="191" spans="2:11" s="3" customFormat="1" hidden="1" outlineLevel="1">
      <c r="B191" s="150"/>
      <c r="C191" s="151"/>
      <c r="D191" s="152"/>
      <c r="E191" s="153"/>
      <c r="F191" s="19"/>
      <c r="G191" s="19"/>
      <c r="H191" s="19"/>
      <c r="I191" s="19"/>
      <c r="J191" s="19"/>
      <c r="K191" s="19"/>
    </row>
    <row r="192" spans="2:11" s="9" customFormat="1" hidden="1" outlineLevel="1">
      <c r="B192" s="100" t="s">
        <v>146</v>
      </c>
      <c r="C192" s="91" t="s">
        <v>267</v>
      </c>
      <c r="D192" s="94"/>
      <c r="E192" s="117" t="s">
        <v>62</v>
      </c>
      <c r="F192" s="77"/>
      <c r="G192" s="77"/>
      <c r="H192" s="19"/>
      <c r="I192" s="19"/>
      <c r="J192" s="19"/>
      <c r="K192" s="19"/>
    </row>
    <row r="193" spans="2:11" s="9" customFormat="1" hidden="1" outlineLevel="1">
      <c r="B193" s="26"/>
      <c r="C193" s="100" t="s">
        <v>302</v>
      </c>
      <c r="D193" s="130" t="s">
        <v>257</v>
      </c>
      <c r="E193" s="117" t="s">
        <v>124</v>
      </c>
      <c r="F193" s="77"/>
      <c r="G193" s="77"/>
      <c r="H193" s="19"/>
      <c r="I193" s="19"/>
      <c r="J193" s="19"/>
      <c r="K193" s="19"/>
    </row>
    <row r="194" spans="2:11" s="9" customFormat="1" hidden="1" outlineLevel="1">
      <c r="B194" s="100"/>
      <c r="C194" s="91" t="s">
        <v>125</v>
      </c>
      <c r="D194" s="94"/>
      <c r="E194" s="117" t="s">
        <v>173</v>
      </c>
      <c r="F194" s="77"/>
      <c r="G194" s="77"/>
      <c r="H194" s="19"/>
      <c r="I194" s="19"/>
      <c r="J194" s="19"/>
      <c r="K194" s="19"/>
    </row>
    <row r="195" spans="2:11" s="9" customFormat="1" hidden="1" outlineLevel="1">
      <c r="B195" s="100" t="s">
        <v>202</v>
      </c>
      <c r="C195" s="100"/>
      <c r="D195" s="101" t="s">
        <v>1</v>
      </c>
      <c r="E195" s="186" t="s">
        <v>174</v>
      </c>
      <c r="F195" s="188"/>
      <c r="G195" s="77"/>
      <c r="H195" s="19"/>
    </row>
    <row r="196" spans="2:11" s="9" customFormat="1" hidden="1" outlineLevel="1">
      <c r="B196" s="92">
        <f t="shared" ref="B196:B205" si="7">B123</f>
        <v>2012</v>
      </c>
      <c r="C196" s="102">
        <f>IF($D$193="Fixed",$D$194,D196)</f>
        <v>0</v>
      </c>
      <c r="D196" s="94"/>
      <c r="E196" s="187"/>
      <c r="F196" s="185"/>
      <c r="G196" s="77"/>
      <c r="H196" s="19"/>
    </row>
    <row r="197" spans="2:11" s="9" customFormat="1" hidden="1" outlineLevel="1">
      <c r="B197" s="92">
        <f t="shared" si="7"/>
        <v>2013</v>
      </c>
      <c r="C197" s="102">
        <f t="shared" ref="C197:C205" si="8">IF($D$193="Fixed",$D$194,D197)</f>
        <v>0</v>
      </c>
      <c r="D197" s="94"/>
      <c r="E197" s="187"/>
      <c r="F197" s="185"/>
      <c r="G197" s="77"/>
      <c r="H197" s="19"/>
    </row>
    <row r="198" spans="2:11" s="9" customFormat="1" hidden="1" outlineLevel="1">
      <c r="B198" s="92">
        <f t="shared" si="7"/>
        <v>2014</v>
      </c>
      <c r="C198" s="102">
        <f t="shared" si="8"/>
        <v>0</v>
      </c>
      <c r="D198" s="94"/>
      <c r="E198" s="187"/>
      <c r="F198" s="185"/>
      <c r="G198" s="77"/>
      <c r="H198" s="19"/>
    </row>
    <row r="199" spans="2:11" s="9" customFormat="1" hidden="1" outlineLevel="1">
      <c r="B199" s="92">
        <f t="shared" si="7"/>
        <v>2015</v>
      </c>
      <c r="C199" s="102">
        <f t="shared" si="8"/>
        <v>0</v>
      </c>
      <c r="D199" s="94"/>
      <c r="E199" s="187"/>
      <c r="F199" s="185"/>
      <c r="G199" s="77"/>
      <c r="H199" s="19"/>
    </row>
    <row r="200" spans="2:11" s="9" customFormat="1" hidden="1" outlineLevel="1">
      <c r="B200" s="92">
        <f t="shared" si="7"/>
        <v>2016</v>
      </c>
      <c r="C200" s="102">
        <f t="shared" si="8"/>
        <v>0</v>
      </c>
      <c r="D200" s="94"/>
      <c r="E200" s="187"/>
      <c r="F200" s="185"/>
      <c r="G200" s="77"/>
      <c r="H200" s="19"/>
    </row>
    <row r="201" spans="2:11" s="9" customFormat="1" hidden="1" outlineLevel="1">
      <c r="B201" s="92">
        <f t="shared" si="7"/>
        <v>2017</v>
      </c>
      <c r="C201" s="102">
        <f t="shared" si="8"/>
        <v>0</v>
      </c>
      <c r="D201" s="94"/>
      <c r="E201" s="187"/>
      <c r="F201" s="185"/>
      <c r="G201" s="77"/>
      <c r="H201" s="19"/>
    </row>
    <row r="202" spans="2:11" s="9" customFormat="1" hidden="1" outlineLevel="1">
      <c r="B202" s="92">
        <f t="shared" si="7"/>
        <v>2018</v>
      </c>
      <c r="C202" s="102">
        <f t="shared" si="8"/>
        <v>0</v>
      </c>
      <c r="D202" s="94"/>
      <c r="E202" s="187"/>
      <c r="F202" s="185"/>
      <c r="G202" s="77"/>
      <c r="H202" s="19"/>
    </row>
    <row r="203" spans="2:11" s="9" customFormat="1" hidden="1" outlineLevel="1">
      <c r="B203" s="92">
        <f t="shared" si="7"/>
        <v>2019</v>
      </c>
      <c r="C203" s="102">
        <f t="shared" si="8"/>
        <v>0</v>
      </c>
      <c r="D203" s="94"/>
      <c r="E203" s="187"/>
      <c r="F203" s="185"/>
      <c r="G203" s="77"/>
      <c r="H203" s="19"/>
    </row>
    <row r="204" spans="2:11" s="9" customFormat="1" hidden="1" outlineLevel="1">
      <c r="B204" s="92">
        <f t="shared" si="7"/>
        <v>2020</v>
      </c>
      <c r="C204" s="102">
        <f t="shared" si="8"/>
        <v>0</v>
      </c>
      <c r="D204" s="94"/>
      <c r="E204" s="187"/>
      <c r="F204" s="185"/>
      <c r="G204" s="77"/>
      <c r="H204" s="19"/>
    </row>
    <row r="205" spans="2:11" s="9" customFormat="1" hidden="1" outlineLevel="1">
      <c r="B205" s="92">
        <f t="shared" si="7"/>
        <v>2021</v>
      </c>
      <c r="C205" s="102">
        <f t="shared" si="8"/>
        <v>0</v>
      </c>
      <c r="D205" s="94"/>
      <c r="E205" s="187"/>
      <c r="F205" s="189"/>
      <c r="G205" s="77"/>
      <c r="H205" s="19"/>
    </row>
    <row r="206" spans="2:11" s="9" customFormat="1" ht="14.4" hidden="1" outlineLevel="1">
      <c r="F206" s="19"/>
      <c r="G206" s="19"/>
      <c r="H206" s="19"/>
    </row>
    <row r="207" spans="2:11" hidden="1" outlineLevel="1">
      <c r="E207" s="65"/>
      <c r="F207" s="77"/>
      <c r="G207" s="77"/>
      <c r="H207" s="77"/>
    </row>
    <row r="208" spans="2:11" hidden="1" outlineLevel="1">
      <c r="B208" s="76" t="s">
        <v>148</v>
      </c>
      <c r="C208" s="76"/>
      <c r="D208" s="76"/>
      <c r="E208" s="65" t="s">
        <v>149</v>
      </c>
      <c r="F208" s="77"/>
      <c r="G208" s="77"/>
      <c r="H208" s="77"/>
    </row>
    <row r="209" spans="2:8" hidden="1" outlineLevel="1">
      <c r="B209" s="104" t="s">
        <v>128</v>
      </c>
      <c r="C209" s="105"/>
      <c r="D209" s="106" t="s">
        <v>249</v>
      </c>
      <c r="E209" s="65" t="s">
        <v>200</v>
      </c>
      <c r="F209" s="77"/>
      <c r="G209" s="77"/>
      <c r="H209" s="77"/>
    </row>
    <row r="210" spans="2:8" hidden="1" outlineLevel="1">
      <c r="B210" s="104" t="s">
        <v>129</v>
      </c>
      <c r="C210" s="105"/>
      <c r="D210" s="106" t="s">
        <v>190</v>
      </c>
      <c r="E210" s="65" t="s">
        <v>130</v>
      </c>
      <c r="F210" s="77"/>
      <c r="G210" s="77"/>
      <c r="H210" s="77"/>
    </row>
    <row r="211" spans="2:8" hidden="1" outlineLevel="1">
      <c r="B211" s="107" t="s">
        <v>35</v>
      </c>
      <c r="C211" s="107"/>
      <c r="D211" s="108">
        <v>0.95</v>
      </c>
      <c r="E211" s="65" t="s">
        <v>126</v>
      </c>
      <c r="F211" s="77"/>
      <c r="G211" s="77"/>
      <c r="H211" s="77"/>
    </row>
    <row r="212" spans="2:8" hidden="1" outlineLevel="1">
      <c r="B212" s="107" t="s">
        <v>169</v>
      </c>
      <c r="C212" s="107"/>
      <c r="D212" s="109" t="s">
        <v>23</v>
      </c>
      <c r="E212" s="68" t="s">
        <v>33</v>
      </c>
      <c r="F212" s="77"/>
      <c r="G212" s="77"/>
      <c r="H212" s="77"/>
    </row>
    <row r="213" spans="2:8" hidden="1" outlineLevel="1">
      <c r="G213" s="77"/>
      <c r="H213" s="77"/>
    </row>
    <row r="214" spans="2:8" hidden="1" outlineLevel="1">
      <c r="G214" s="77"/>
      <c r="H214" s="77"/>
    </row>
    <row r="215" spans="2:8" ht="18" collapsed="1">
      <c r="B215" s="159" t="s">
        <v>153</v>
      </c>
      <c r="C215" s="160"/>
      <c r="G215" s="77"/>
      <c r="H215" s="77"/>
    </row>
  </sheetData>
  <mergeCells count="5">
    <mergeCell ref="E17:E28"/>
    <mergeCell ref="E74:F84"/>
    <mergeCell ref="E195:F205"/>
    <mergeCell ref="B111:C111"/>
    <mergeCell ref="E168:E169"/>
  </mergeCells>
  <phoneticPr fontId="22" type="noConversion"/>
  <dataValidations count="9">
    <dataValidation type="list" allowBlank="1" showInputMessage="1" showErrorMessage="1" sqref="D10 D114" xr:uid="{00000000-0002-0000-0100-000000000000}">
      <formula1>Crediting</formula1>
    </dataValidation>
    <dataValidation type="list" allowBlank="1" showInputMessage="1" showErrorMessage="1" sqref="D15 D119" xr:uid="{00000000-0002-0000-0100-000001000000}">
      <formula1>UFL</formula1>
    </dataValidation>
    <dataValidation type="list" allowBlank="1" showInputMessage="1" showErrorMessage="1" sqref="D72 D193" xr:uid="{00000000-0002-0000-0100-000002000000}">
      <formula1>fNRB</formula1>
    </dataValidation>
    <dataValidation type="list" allowBlank="1" showInputMessage="1" showErrorMessage="1" sqref="D40 D45:D46 D144 D152:D153" xr:uid="{00000000-0002-0000-0100-000003000000}">
      <formula1>npy</formula1>
    </dataValidation>
    <dataValidation type="list" allowBlank="1" showInputMessage="1" showErrorMessage="1" sqref="D43" xr:uid="{00000000-0002-0000-0100-000004000000}">
      <formula1>WBT</formula1>
    </dataValidation>
    <dataValidation type="list" allowBlank="1" showInputMessage="1" showErrorMessage="1" promptTitle="Baseline fuel consumption" sqref="D32 D136" xr:uid="{00000000-0002-0000-0100-000005000000}">
      <formula1>Bby</formula1>
    </dataValidation>
    <dataValidation type="list" allowBlank="1" showInputMessage="1" showErrorMessage="1" sqref="D100 D209" xr:uid="{00000000-0002-0000-0100-000006000000}">
      <formula1>PoA</formula1>
    </dataValidation>
    <dataValidation type="list" allowBlank="1" showInputMessage="1" showErrorMessage="1" sqref="D101 D210" xr:uid="{00000000-0002-0000-0100-000007000000}">
      <formula1>Leakage</formula1>
    </dataValidation>
    <dataValidation type="list" allowBlank="1" showInputMessage="1" showErrorMessage="1" sqref="D111" xr:uid="{00000000-0002-0000-0100-000008000000}">
      <formula1>Y_N</formula1>
    </dataValidation>
  </dataValidations>
  <hyperlinks>
    <hyperlink ref="B105" location="ER!A1" display="Go to &quot;ER&quot; worksheet for emission reduction summary. " xr:uid="{00000000-0004-0000-0100-000000000000}"/>
    <hyperlink ref="B215" location="ER!A1" display="Go to &quot;ER&quot; worksheet for emission reduction summary. " xr:uid="{00000000-0004-0000-0100-000001000000}"/>
  </hyperlinks>
  <pageMargins left="0.75" right="0.75" top="1" bottom="1" header="0.5" footer="0.5"/>
  <pageSetup orientation="portrait" horizontalDpi="4294967292" verticalDpi="4294967292"/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73"/>
  <sheetViews>
    <sheetView workbookViewId="0">
      <pane xSplit="4" ySplit="2" topLeftCell="E29" activePane="bottomRight" state="frozen"/>
      <selection pane="topRight" activeCell="E1" sqref="E1"/>
      <selection pane="bottomLeft" activeCell="A4" sqref="A4"/>
      <selection pane="bottomRight" activeCell="B53" sqref="B53"/>
    </sheetView>
  </sheetViews>
  <sheetFormatPr defaultColWidth="10.77734375" defaultRowHeight="14.4" outlineLevelRow="1"/>
  <cols>
    <col min="1" max="1" width="2.44140625" style="19" customWidth="1"/>
    <col min="2" max="2" width="14.77734375" style="9" customWidth="1"/>
    <col min="3" max="3" width="85" style="9" customWidth="1"/>
    <col min="4" max="4" width="20" style="19" customWidth="1"/>
    <col min="5" max="5" width="8.6640625" style="9" bestFit="1" customWidth="1"/>
    <col min="6" max="10" width="8.109375" style="9" bestFit="1" customWidth="1"/>
    <col min="11" max="15" width="7.33203125" style="9" bestFit="1" customWidth="1"/>
    <col min="16" max="16384" width="10.77734375" style="9"/>
  </cols>
  <sheetData>
    <row r="1" spans="1:15">
      <c r="B1" s="49" t="s">
        <v>29</v>
      </c>
      <c r="C1" s="49" t="s">
        <v>263</v>
      </c>
    </row>
    <row r="2" spans="1:15">
      <c r="A2" s="20"/>
      <c r="B2" s="12"/>
      <c r="C2" s="12"/>
      <c r="D2" s="20"/>
      <c r="E2" s="38" t="s">
        <v>25</v>
      </c>
      <c r="F2" s="39">
        <f>IP!B19</f>
        <v>2020</v>
      </c>
      <c r="G2" s="39">
        <f>IP!B20</f>
        <v>2021</v>
      </c>
      <c r="H2" s="39">
        <f>IP!B21</f>
        <v>2022</v>
      </c>
      <c r="I2" s="39">
        <f>IP!B22</f>
        <v>2023</v>
      </c>
      <c r="J2" s="39">
        <f>IP!B23</f>
        <v>2024</v>
      </c>
      <c r="K2" s="39" t="str">
        <f>IP!B24</f>
        <v>N/A</v>
      </c>
      <c r="L2" s="39" t="str">
        <f>IP!B25</f>
        <v>N/A</v>
      </c>
      <c r="M2" s="39" t="str">
        <f>IP!B26</f>
        <v>N/A</v>
      </c>
      <c r="N2" s="39" t="str">
        <f>IP!B27</f>
        <v>N/A</v>
      </c>
      <c r="O2" s="40" t="str">
        <f>IP!B28</f>
        <v>N/A</v>
      </c>
    </row>
    <row r="3" spans="1:15" ht="15.6">
      <c r="A3" s="20"/>
      <c r="B3" s="127" t="s">
        <v>259</v>
      </c>
      <c r="C3" s="128" t="s">
        <v>170</v>
      </c>
      <c r="D3" s="127"/>
      <c r="E3" s="127"/>
      <c r="F3" s="124"/>
      <c r="G3" s="124"/>
      <c r="H3" s="124"/>
      <c r="I3" s="124"/>
      <c r="J3" s="124"/>
      <c r="K3" s="124"/>
      <c r="L3" s="124"/>
      <c r="M3" s="124"/>
      <c r="N3" s="124"/>
      <c r="O3" s="124"/>
    </row>
    <row r="4" spans="1:15">
      <c r="A4" s="20"/>
      <c r="B4" s="12"/>
      <c r="C4" s="12"/>
      <c r="D4" s="20"/>
      <c r="E4" s="123"/>
      <c r="F4" s="124"/>
      <c r="G4" s="124"/>
      <c r="H4" s="124"/>
      <c r="I4" s="124"/>
      <c r="J4" s="124"/>
      <c r="K4" s="124"/>
      <c r="L4" s="124"/>
      <c r="M4" s="124"/>
      <c r="N4" s="124"/>
      <c r="O4" s="124"/>
    </row>
    <row r="5" spans="1:15" outlineLevel="1">
      <c r="A5" s="20"/>
      <c r="B5" s="31" t="s">
        <v>196</v>
      </c>
      <c r="C5" s="31"/>
      <c r="D5" s="20"/>
      <c r="E5" s="24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outlineLevel="1">
      <c r="A6" s="20"/>
      <c r="B6" s="29"/>
      <c r="C6" s="29"/>
      <c r="D6" s="20" t="s">
        <v>38</v>
      </c>
      <c r="E6" s="30"/>
      <c r="F6" s="125"/>
      <c r="G6" s="125"/>
      <c r="H6" s="125"/>
      <c r="I6" s="125"/>
      <c r="J6" s="125"/>
      <c r="K6" s="125"/>
      <c r="L6" s="125"/>
      <c r="M6" s="125"/>
      <c r="N6" s="125"/>
      <c r="O6" s="125"/>
    </row>
    <row r="7" spans="1:15" outlineLevel="1">
      <c r="A7" s="20"/>
      <c r="B7" s="29"/>
      <c r="C7" s="29"/>
      <c r="D7" s="19" t="s">
        <v>39</v>
      </c>
      <c r="E7" s="30"/>
      <c r="F7" s="166" t="e">
        <f>BG!D73*F9*((F11*F12)+F13)*(1-F14)</f>
        <v>#DIV/0!</v>
      </c>
      <c r="G7" s="166" t="e">
        <f>BG!E74*G9*((G11*G12)+G13)*(1-G14)+BG!E73*F9*((F11*F12)+F13)*(1-F14)</f>
        <v>#DIV/0!</v>
      </c>
      <c r="H7" s="166" t="e">
        <f>BG!F75*H9*((H11*H12)+H13)*(1-H14)+BG!F74*G9*((G11*G12)+G13)*(1-G14)+BG!F73*F9*((F11*F12)+F13)*(1-F14)</f>
        <v>#DIV/0!</v>
      </c>
      <c r="I7" s="166" t="e">
        <f>BG!G76*I9*((I11*I12)+I13)*(1-I14)+BG!G75*H9*((H11*H12)+H13)*(1-H14)+BG!G74*G9*((G11*G12)+G13)*(1-G14)+BG!G73*F9*((F11*F12)+F13)*(1-F14)</f>
        <v>#DIV/0!</v>
      </c>
      <c r="J7" s="166" t="e">
        <f>BG!H77*J9*((J11*J12)+J13)*(1-J14)+BG!H76*I9*((I11*I12)+I13)*(1-I14)+BG!H75*H9*((H11*H12)+H13)*(1-H14)+BG!H74*G9*((G11*G12)+G13)*(1-G14)+BG!H73*F9*((F11*F12)+F13)*(1-F14)</f>
        <v>#DIV/0!</v>
      </c>
      <c r="K7" s="166" t="e">
        <f>BG!I78*K9*((K11*K12)+K13)*(1-K14)+BG!I77*J9*((J11*J12)+J13)*(1-J14)+BG!I76*I9*((I11*I12)+I13)*(1-I14)+BG!I75*H9*((H11*H12)+H13)*(1-H14)+BG!I74*G9*((G11*G12)+G13)*(1-G14)+BG!I73*F9*((F11*F12)+F13)*(1-F14)</f>
        <v>#DIV/0!</v>
      </c>
      <c r="L7" s="166" t="e">
        <f>BG!J79*L9*((L11*L12)+L13)*(1-L14)+BG!J78*K9*((K11*K12)+K13)*(1-K14)+BG!J77*J9*((J11*J12)+J13)*(1-J14)+BG!J76*I9*((I11*I12)+I13)*(1-I14)+BG!J75*H9*((H11*H12)+H13)*(1-H14)+BG!J74*G9*((G11*G12)+G13)*(1-G14)+BG!J73*F9*((F11*F12)+F13)*(1-F14)</f>
        <v>#DIV/0!</v>
      </c>
      <c r="M7" s="166" t="e">
        <f>BG!K80*M9*((M11*M12)+M13)*(1-M14)+BG!K79*L9*((L11*L12)+L13)*(1-L14)+BG!K78*K9*((K11*K12)+K13)*(1-K14)+BG!K77*J9*((J11*J12)+J13)*(1-J14)+BG!K76*I9*((I11*I12)+I13)*(1-I14)+BG!K75*H9*((H11*H12)+H13)*(1-H14)+BG!K74*G9*((G11*G12)+G13)*(1-G14)+BG!K73*F9*((F11*F12)+F13)*(1-F14)</f>
        <v>#DIV/0!</v>
      </c>
      <c r="N7" s="166" t="e">
        <f>BG!L81*N9*((N11*N12)+N13)*(1-N14)+BG!L80*M9*((M11*M12)+M13)*(1-M14)+BG!L79*L9*((L11*L12)+L13)*(1-L14)+BG!L78*K9*((K11*K12)+K13)*(1-K14)+BG!L77*J9*((J11*J12)+J13)*(1-J14)+BG!L76*I9*((I11*I12)+I13)*(1-I14)+BG!L75*H9*((H11*H12)+H13)*(1-H14)+BG!L74*G9*((G11*G12)+G13)*(1-G14)+BG!L73*F9*((F11*F12)+F13)*(1-F14)</f>
        <v>#DIV/0!</v>
      </c>
      <c r="O7" s="166" t="e">
        <f>BG!M82*O9*(O11*O12+O13)*(1-O14)+BG!M81*N9*(N11*N12+N13)*(1-N14)+BG!M80*M9*(M11*M12+M13)*(1-M14)+BG!M79*L9*(L11*L12+L13)*(1-L14)+BG!M78*K9*(K11*K12+K13)*(1-K14)+BG!M77*J9*(J11*J12+J13)*(1-J14)+BG!M76*I9*(I11*I12+I13)*(1-I14)+BG!M75*H9*(H11*H12+H13)*(1-H14)+BG!M74*G9*(G11*G12+G13)*(1-G14)+BG!M73*F9*(F11*F12+F13)*(1-F14)</f>
        <v>#DIV/0!</v>
      </c>
    </row>
    <row r="8" spans="1:15" outlineLevel="1">
      <c r="A8" s="20"/>
      <c r="B8" s="30" t="s">
        <v>77</v>
      </c>
      <c r="C8" s="14" t="s">
        <v>12</v>
      </c>
      <c r="D8" s="13" t="s">
        <v>119</v>
      </c>
      <c r="E8" s="17"/>
      <c r="F8" s="25">
        <f>IP!C61</f>
        <v>0</v>
      </c>
      <c r="G8" s="25">
        <f>IP!C62</f>
        <v>0</v>
      </c>
      <c r="H8" s="25">
        <f>IP!C63</f>
        <v>0</v>
      </c>
      <c r="I8" s="25">
        <f>IP!C64</f>
        <v>0</v>
      </c>
      <c r="J8" s="25">
        <f>IP!C65</f>
        <v>0</v>
      </c>
      <c r="K8" s="25">
        <f>IP!C66</f>
        <v>0</v>
      </c>
      <c r="L8" s="25">
        <f>IP!C67</f>
        <v>0</v>
      </c>
      <c r="M8" s="25">
        <f>IF(M2="N/A",0,IP!C68)</f>
        <v>0</v>
      </c>
      <c r="N8" s="25">
        <f>IF(N2="N/A",0,IP!C69)</f>
        <v>0</v>
      </c>
      <c r="O8" s="25">
        <f>IF(O2="N/A",0,IP!C70)</f>
        <v>0</v>
      </c>
    </row>
    <row r="9" spans="1:15" outlineLevel="1">
      <c r="A9" s="20"/>
      <c r="B9" s="30" t="s">
        <v>78</v>
      </c>
      <c r="C9" s="14" t="s">
        <v>8</v>
      </c>
      <c r="D9" s="15" t="s">
        <v>85</v>
      </c>
      <c r="E9" s="13"/>
      <c r="F9" s="27" t="e">
        <f t="shared" ref="F9:O9" si="0">F19</f>
        <v>#DIV/0!</v>
      </c>
      <c r="G9" s="27" t="e">
        <f t="shared" si="0"/>
        <v>#DIV/0!</v>
      </c>
      <c r="H9" s="27" t="e">
        <f t="shared" si="0"/>
        <v>#DIV/0!</v>
      </c>
      <c r="I9" s="27" t="e">
        <f t="shared" si="0"/>
        <v>#DIV/0!</v>
      </c>
      <c r="J9" s="27" t="e">
        <f t="shared" si="0"/>
        <v>#DIV/0!</v>
      </c>
      <c r="K9" s="27" t="e">
        <f t="shared" si="0"/>
        <v>#DIV/0!</v>
      </c>
      <c r="L9" s="27" t="e">
        <f t="shared" si="0"/>
        <v>#DIV/0!</v>
      </c>
      <c r="M9" s="27" t="e">
        <f t="shared" si="0"/>
        <v>#DIV/0!</v>
      </c>
      <c r="N9" s="27" t="e">
        <f t="shared" si="0"/>
        <v>#DIV/0!</v>
      </c>
      <c r="O9" s="27" t="e">
        <f t="shared" si="0"/>
        <v>#DIV/0!</v>
      </c>
    </row>
    <row r="10" spans="1:15" ht="28.8" outlineLevel="1">
      <c r="A10" s="20"/>
      <c r="B10" s="30" t="s">
        <v>79</v>
      </c>
      <c r="C10" s="14" t="s">
        <v>42</v>
      </c>
      <c r="D10" s="16" t="s">
        <v>15</v>
      </c>
      <c r="E10" s="13"/>
      <c r="F10" s="25" t="s">
        <v>120</v>
      </c>
      <c r="G10" s="25" t="s">
        <v>120</v>
      </c>
      <c r="H10" s="25" t="s">
        <v>120</v>
      </c>
      <c r="I10" s="25" t="s">
        <v>120</v>
      </c>
      <c r="J10" s="25" t="s">
        <v>120</v>
      </c>
      <c r="K10" s="25" t="s">
        <v>120</v>
      </c>
      <c r="L10" s="25" t="s">
        <v>120</v>
      </c>
      <c r="M10" s="25" t="s">
        <v>120</v>
      </c>
      <c r="N10" s="25" t="s">
        <v>120</v>
      </c>
      <c r="O10" s="25" t="s">
        <v>120</v>
      </c>
    </row>
    <row r="11" spans="1:15" outlineLevel="1">
      <c r="A11" s="20"/>
      <c r="B11" s="30" t="s">
        <v>80</v>
      </c>
      <c r="C11" s="14" t="s">
        <v>37</v>
      </c>
      <c r="D11" s="16" t="s">
        <v>15</v>
      </c>
      <c r="E11" s="13"/>
      <c r="F11" s="18">
        <f>IP!C75</f>
        <v>1</v>
      </c>
      <c r="G11" s="18">
        <f>IP!C76</f>
        <v>1</v>
      </c>
      <c r="H11" s="18">
        <f>IP!C77</f>
        <v>1</v>
      </c>
      <c r="I11" s="18">
        <f>IP!C78</f>
        <v>1</v>
      </c>
      <c r="J11" s="18">
        <f>IP!C79</f>
        <v>1</v>
      </c>
      <c r="K11" s="18">
        <f>IP!C80</f>
        <v>1</v>
      </c>
      <c r="L11" s="18">
        <f>IP!C81</f>
        <v>1</v>
      </c>
      <c r="M11" s="18">
        <f>IP!C82</f>
        <v>1</v>
      </c>
      <c r="N11" s="18">
        <f>IP!C83</f>
        <v>1</v>
      </c>
      <c r="O11" s="18">
        <f>IP!C84</f>
        <v>1</v>
      </c>
    </row>
    <row r="12" spans="1:15" outlineLevel="1">
      <c r="A12" s="20"/>
      <c r="B12" s="30" t="s">
        <v>81</v>
      </c>
      <c r="C12" s="14" t="s">
        <v>68</v>
      </c>
      <c r="D12" s="13" t="s">
        <v>161</v>
      </c>
      <c r="E12" s="13"/>
      <c r="F12" s="27">
        <f>BG!$D$3</f>
        <v>1.7471999999999999</v>
      </c>
      <c r="G12" s="27">
        <f>BG!$D$3</f>
        <v>1.7471999999999999</v>
      </c>
      <c r="H12" s="27">
        <f>BG!$D$3</f>
        <v>1.7471999999999999</v>
      </c>
      <c r="I12" s="27">
        <f>BG!$D$3</f>
        <v>1.7471999999999999</v>
      </c>
      <c r="J12" s="27">
        <f>BG!$D$3</f>
        <v>1.7471999999999999</v>
      </c>
      <c r="K12" s="27">
        <f>BG!$D$3</f>
        <v>1.7471999999999999</v>
      </c>
      <c r="L12" s="27">
        <f>BG!$D$3</f>
        <v>1.7471999999999999</v>
      </c>
      <c r="M12" s="27">
        <f>BG!$D$3</f>
        <v>1.7471999999999999</v>
      </c>
      <c r="N12" s="27">
        <f>BG!$D$3</f>
        <v>1.7471999999999999</v>
      </c>
      <c r="O12" s="27">
        <f>BG!$D$3</f>
        <v>1.7471999999999999</v>
      </c>
    </row>
    <row r="13" spans="1:15" outlineLevel="1">
      <c r="A13" s="20"/>
      <c r="B13" s="30" t="s">
        <v>109</v>
      </c>
      <c r="C13" s="14" t="s">
        <v>67</v>
      </c>
      <c r="D13" s="13" t="s">
        <v>162</v>
      </c>
      <c r="E13" s="13"/>
      <c r="F13" s="28">
        <f>IF(IP!$D$11&gt;=BG!$F$5,BG!$D$5,BG!$D$4)</f>
        <v>0.52965899999999999</v>
      </c>
      <c r="G13" s="28">
        <f>IF(IP!$D$11&gt;=BG!$F$5,BG!$D$5,BG!$D$4)</f>
        <v>0.52965899999999999</v>
      </c>
      <c r="H13" s="28">
        <f>IF(IP!$D$11&gt;=BG!$F$5,BG!$D$5,BG!$D$4)</f>
        <v>0.52965899999999999</v>
      </c>
      <c r="I13" s="28">
        <f>IF(IP!$D$11&gt;=BG!$F$5,BG!$D$5,BG!$D$4)</f>
        <v>0.52965899999999999</v>
      </c>
      <c r="J13" s="28">
        <f>IF(IP!$D$11&gt;=BG!$F$5,BG!$D$5,BG!$D$4)</f>
        <v>0.52965899999999999</v>
      </c>
      <c r="K13" s="28">
        <f>IF(IP!$D$11&gt;=BG!$F$5,BG!$D$5,BG!$D$4)</f>
        <v>0.52965899999999999</v>
      </c>
      <c r="L13" s="28">
        <f>IF(IP!$D$11&gt;=BG!$F$5,BG!$D$5,BG!$D$4)</f>
        <v>0.52965899999999999</v>
      </c>
      <c r="M13" s="28">
        <f>IF(IP!$D$11&gt;=BG!$F$5,BG!$D$5,BG!$D$4)</f>
        <v>0.52965899999999999</v>
      </c>
      <c r="N13" s="28">
        <f>IF(IP!$D$11&gt;=BG!$F$5,BG!$D$5,BG!$D$4)</f>
        <v>0.52965899999999999</v>
      </c>
      <c r="O13" s="28">
        <f>IF(IP!$D$11&gt;=BG!$F$5,BG!$D$5,BG!$D$4)</f>
        <v>0.52965899999999999</v>
      </c>
    </row>
    <row r="14" spans="1:15" outlineLevel="1">
      <c r="A14" s="20"/>
      <c r="B14" s="30" t="s">
        <v>82</v>
      </c>
      <c r="C14" s="14" t="s">
        <v>72</v>
      </c>
      <c r="D14" s="16" t="s">
        <v>15</v>
      </c>
      <c r="E14" s="13"/>
      <c r="F14" s="161">
        <f>IP!C88</f>
        <v>0</v>
      </c>
      <c r="G14" s="161">
        <f>IP!C89</f>
        <v>0</v>
      </c>
      <c r="H14" s="161">
        <f>IP!C90</f>
        <v>0</v>
      </c>
      <c r="I14" s="161">
        <f>IP!C91</f>
        <v>0</v>
      </c>
      <c r="J14" s="161">
        <f>IP!C92</f>
        <v>0</v>
      </c>
      <c r="K14" s="161">
        <f>IP!C93</f>
        <v>0</v>
      </c>
      <c r="L14" s="161">
        <f>IP!C94</f>
        <v>0</v>
      </c>
      <c r="M14" s="161">
        <f>IP!C95</f>
        <v>0</v>
      </c>
      <c r="N14" s="161">
        <f>IP!C96</f>
        <v>0</v>
      </c>
      <c r="O14" s="161">
        <f>IP!C97</f>
        <v>0</v>
      </c>
    </row>
    <row r="15" spans="1:15" outlineLevel="1">
      <c r="A15" s="20"/>
      <c r="B15" s="30" t="s">
        <v>73</v>
      </c>
      <c r="C15" s="14" t="s">
        <v>74</v>
      </c>
      <c r="D15" s="13"/>
      <c r="E15" s="13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5" outlineLevel="1">
      <c r="A16" s="20"/>
      <c r="B16" s="30" t="s">
        <v>75</v>
      </c>
      <c r="C16" s="14" t="s">
        <v>76</v>
      </c>
      <c r="D16" s="22"/>
      <c r="E16" s="13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5" outlineLevel="1">
      <c r="A17" s="20"/>
      <c r="B17" s="20"/>
      <c r="C17" s="23"/>
      <c r="D17" s="20"/>
      <c r="E17" s="13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outlineLevel="1">
      <c r="A18" s="20"/>
      <c r="B18" s="31" t="s">
        <v>97</v>
      </c>
      <c r="C18" s="31"/>
      <c r="D18" s="22"/>
      <c r="E18" s="13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5" outlineLevel="1">
      <c r="A19" s="20"/>
      <c r="B19" s="29" t="s">
        <v>111</v>
      </c>
      <c r="C19" s="29"/>
      <c r="D19" s="24"/>
      <c r="E19" s="30" t="s">
        <v>110</v>
      </c>
      <c r="F19" s="34" t="e">
        <f>F20*(1-F22/F21)</f>
        <v>#DIV/0!</v>
      </c>
      <c r="G19" s="34" t="e">
        <f t="shared" ref="G19:O19" si="1">G20*(1-G22/G21)</f>
        <v>#DIV/0!</v>
      </c>
      <c r="H19" s="34" t="e">
        <f t="shared" si="1"/>
        <v>#DIV/0!</v>
      </c>
      <c r="I19" s="34" t="e">
        <f t="shared" si="1"/>
        <v>#DIV/0!</v>
      </c>
      <c r="J19" s="34" t="e">
        <f t="shared" si="1"/>
        <v>#DIV/0!</v>
      </c>
      <c r="K19" s="34" t="e">
        <f t="shared" si="1"/>
        <v>#DIV/0!</v>
      </c>
      <c r="L19" s="34" t="e">
        <f t="shared" si="1"/>
        <v>#DIV/0!</v>
      </c>
      <c r="M19" s="34" t="e">
        <f t="shared" si="1"/>
        <v>#DIV/0!</v>
      </c>
      <c r="N19" s="34" t="e">
        <f t="shared" si="1"/>
        <v>#DIV/0!</v>
      </c>
      <c r="O19" s="34" t="e">
        <f t="shared" si="1"/>
        <v>#DIV/0!</v>
      </c>
    </row>
    <row r="20" spans="1:15" outlineLevel="1">
      <c r="A20" s="20"/>
      <c r="B20" s="30" t="s">
        <v>98</v>
      </c>
      <c r="C20" s="14" t="s">
        <v>5</v>
      </c>
      <c r="D20" s="15" t="s">
        <v>6</v>
      </c>
      <c r="E20" s="13"/>
      <c r="F20" s="35">
        <f>IP!$D$37</f>
        <v>2.5</v>
      </c>
      <c r="G20" s="35">
        <f>IP!$D$37</f>
        <v>2.5</v>
      </c>
      <c r="H20" s="35">
        <f>IP!$D$37</f>
        <v>2.5</v>
      </c>
      <c r="I20" s="35">
        <f>IP!$D$37</f>
        <v>2.5</v>
      </c>
      <c r="J20" s="35">
        <f>IP!$D$37</f>
        <v>2.5</v>
      </c>
      <c r="K20" s="35">
        <f>IP!$D$37</f>
        <v>2.5</v>
      </c>
      <c r="L20" s="35">
        <f>IP!$D$37</f>
        <v>2.5</v>
      </c>
      <c r="M20" s="35">
        <f>IP!$D$37</f>
        <v>2.5</v>
      </c>
      <c r="N20" s="35">
        <f>IP!$D$37</f>
        <v>2.5</v>
      </c>
      <c r="O20" s="35">
        <f>IP!$D$37</f>
        <v>2.5</v>
      </c>
    </row>
    <row r="21" spans="1:15" outlineLevel="1">
      <c r="A21" s="20"/>
      <c r="B21" s="30" t="s">
        <v>99</v>
      </c>
      <c r="C21" s="14" t="s">
        <v>104</v>
      </c>
      <c r="D21" s="16" t="s">
        <v>103</v>
      </c>
      <c r="E21" s="13"/>
      <c r="F21" s="18">
        <f>F27</f>
        <v>0</v>
      </c>
      <c r="G21" s="18">
        <f t="shared" ref="G21:O21" si="2">G27</f>
        <v>0</v>
      </c>
      <c r="H21" s="18">
        <f t="shared" si="2"/>
        <v>0</v>
      </c>
      <c r="I21" s="18">
        <f t="shared" si="2"/>
        <v>0</v>
      </c>
      <c r="J21" s="18">
        <f t="shared" si="2"/>
        <v>0</v>
      </c>
      <c r="K21" s="18">
        <f t="shared" si="2"/>
        <v>0</v>
      </c>
      <c r="L21" s="18">
        <f t="shared" si="2"/>
        <v>0</v>
      </c>
      <c r="M21" s="18">
        <f t="shared" si="2"/>
        <v>0</v>
      </c>
      <c r="N21" s="18">
        <f t="shared" si="2"/>
        <v>0</v>
      </c>
      <c r="O21" s="18">
        <f t="shared" si="2"/>
        <v>0</v>
      </c>
    </row>
    <row r="22" spans="1:15" outlineLevel="1">
      <c r="A22" s="20"/>
      <c r="B22" s="30" t="s">
        <v>198</v>
      </c>
      <c r="C22" s="14" t="s">
        <v>105</v>
      </c>
      <c r="D22" s="16" t="s">
        <v>103</v>
      </c>
      <c r="E22" s="13"/>
      <c r="F22" s="18">
        <f>IP!$D$42</f>
        <v>0.1</v>
      </c>
      <c r="G22" s="18">
        <f>IP!$D$42</f>
        <v>0.1</v>
      </c>
      <c r="H22" s="18">
        <f>IP!$D$42</f>
        <v>0.1</v>
      </c>
      <c r="I22" s="18">
        <f>IP!$D$42</f>
        <v>0.1</v>
      </c>
      <c r="J22" s="18">
        <f>IP!$D$42</f>
        <v>0.1</v>
      </c>
      <c r="K22" s="18">
        <f>IP!$D$42</f>
        <v>0.1</v>
      </c>
      <c r="L22" s="18">
        <f>IP!$D$42</f>
        <v>0.1</v>
      </c>
      <c r="M22" s="18">
        <f>IP!$D$42</f>
        <v>0.1</v>
      </c>
      <c r="N22" s="18">
        <f>IP!$D$42</f>
        <v>0.1</v>
      </c>
      <c r="O22" s="18">
        <f>IP!$D$42</f>
        <v>0.1</v>
      </c>
    </row>
    <row r="23" spans="1:15" outlineLevel="1">
      <c r="A23" s="20"/>
      <c r="B23" s="12"/>
      <c r="C23" s="12"/>
      <c r="D23" s="20"/>
      <c r="E23" s="13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outlineLevel="1">
      <c r="A24" s="20"/>
      <c r="B24" s="32" t="s">
        <v>197</v>
      </c>
      <c r="C24" s="32"/>
      <c r="D24" s="20"/>
      <c r="E24" s="13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outlineLevel="1">
      <c r="A25" s="20"/>
      <c r="B25" s="32" t="s">
        <v>10</v>
      </c>
      <c r="C25" s="32"/>
      <c r="D25" s="20"/>
      <c r="E25" s="13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outlineLevel="1">
      <c r="A26" s="20"/>
      <c r="B26" s="32" t="s">
        <v>199</v>
      </c>
      <c r="C26" s="32"/>
      <c r="D26" s="20"/>
      <c r="E26" s="22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outlineLevel="1">
      <c r="A27" s="20"/>
      <c r="B27" s="30" t="s">
        <v>27</v>
      </c>
      <c r="C27" s="14" t="s">
        <v>106</v>
      </c>
      <c r="D27" s="13" t="s">
        <v>103</v>
      </c>
      <c r="E27" s="30" t="s">
        <v>99</v>
      </c>
      <c r="F27" s="37">
        <f>F28*F30</f>
        <v>0</v>
      </c>
      <c r="G27" s="37">
        <f t="shared" ref="G27:O27" si="3">G28*G30</f>
        <v>0</v>
      </c>
      <c r="H27" s="37">
        <f t="shared" si="3"/>
        <v>0</v>
      </c>
      <c r="I27" s="37">
        <f t="shared" si="3"/>
        <v>0</v>
      </c>
      <c r="J27" s="37">
        <f t="shared" si="3"/>
        <v>0</v>
      </c>
      <c r="K27" s="37">
        <f t="shared" si="3"/>
        <v>0</v>
      </c>
      <c r="L27" s="37">
        <f t="shared" si="3"/>
        <v>0</v>
      </c>
      <c r="M27" s="37">
        <f t="shared" si="3"/>
        <v>0</v>
      </c>
      <c r="N27" s="37">
        <f t="shared" si="3"/>
        <v>0</v>
      </c>
      <c r="O27" s="37">
        <f t="shared" si="3"/>
        <v>0</v>
      </c>
    </row>
    <row r="28" spans="1:15" outlineLevel="1">
      <c r="A28" s="20"/>
      <c r="B28" s="30" t="s">
        <v>11</v>
      </c>
      <c r="C28" s="14" t="s">
        <v>215</v>
      </c>
      <c r="D28" s="13" t="s">
        <v>103</v>
      </c>
      <c r="E28" s="13" t="s">
        <v>119</v>
      </c>
      <c r="F28" s="18">
        <f>IF(IP!$D$46="Default",IP!C48,IP!D48)</f>
        <v>0</v>
      </c>
      <c r="G28" s="18">
        <f>IF(IP!$D$46="Default",IP!C49,IP!D49)</f>
        <v>0</v>
      </c>
      <c r="H28" s="18">
        <f>IF(IP!$D$46="Default",IP!C50,IP!D50)</f>
        <v>0</v>
      </c>
      <c r="I28" s="18">
        <f>IF(IP!$D$46="Default",IP!C51,IP!D51)</f>
        <v>0</v>
      </c>
      <c r="J28" s="18">
        <f>IF(IP!$D$46="Default",IP!C52,IP!D52)</f>
        <v>0</v>
      </c>
      <c r="K28" s="18">
        <f>IF(IP!$D$46="Default",IP!C53,IP!D53)</f>
        <v>0</v>
      </c>
      <c r="L28" s="18">
        <f>IF(IP!$D$46="Default",IP!C54,IP!D54)</f>
        <v>0</v>
      </c>
      <c r="M28" s="18">
        <f>IF(IP!$D$46="Default",IP!C55,IP!D55)</f>
        <v>0</v>
      </c>
      <c r="N28" s="18">
        <f>IF(IP!$D$46="Default",IP!C56,IP!D56)</f>
        <v>0</v>
      </c>
      <c r="O28" s="18">
        <f>IF(IP!$D$46="Default",IP!C57,IP!D57)</f>
        <v>0</v>
      </c>
    </row>
    <row r="29" spans="1:15" outlineLevel="1">
      <c r="A29" s="20"/>
      <c r="B29" s="30" t="s">
        <v>123</v>
      </c>
      <c r="C29" s="14" t="s">
        <v>36</v>
      </c>
      <c r="D29" s="13" t="s">
        <v>15</v>
      </c>
      <c r="E29" s="13"/>
      <c r="F29" s="15" t="s">
        <v>120</v>
      </c>
      <c r="G29" s="15" t="s">
        <v>188</v>
      </c>
      <c r="H29" s="15" t="s">
        <v>120</v>
      </c>
      <c r="I29" s="15" t="s">
        <v>120</v>
      </c>
      <c r="J29" s="15" t="s">
        <v>188</v>
      </c>
      <c r="K29" s="15" t="s">
        <v>120</v>
      </c>
      <c r="L29" s="15" t="s">
        <v>120</v>
      </c>
      <c r="M29" s="15" t="s">
        <v>188</v>
      </c>
      <c r="N29" s="15" t="s">
        <v>120</v>
      </c>
      <c r="O29" s="15" t="s">
        <v>120</v>
      </c>
    </row>
    <row r="30" spans="1:15" outlineLevel="1">
      <c r="A30" s="20"/>
      <c r="B30" s="33">
        <v>0.94</v>
      </c>
      <c r="C30" s="14" t="s">
        <v>22</v>
      </c>
      <c r="D30" s="13" t="s">
        <v>120</v>
      </c>
      <c r="E30" s="13"/>
      <c r="F30" s="15">
        <v>0.94</v>
      </c>
      <c r="G30" s="15">
        <v>0.94</v>
      </c>
      <c r="H30" s="15">
        <v>0.94</v>
      </c>
      <c r="I30" s="15">
        <v>0.94</v>
      </c>
      <c r="J30" s="15">
        <v>0.94</v>
      </c>
      <c r="K30" s="15">
        <v>0.94</v>
      </c>
      <c r="L30" s="15">
        <v>0.94</v>
      </c>
      <c r="M30" s="15">
        <v>0.94</v>
      </c>
      <c r="N30" s="15">
        <v>0.94</v>
      </c>
      <c r="O30" s="15">
        <v>0.94</v>
      </c>
    </row>
    <row r="31" spans="1:15" outlineLevel="1"/>
    <row r="32" spans="1:15" outlineLevel="1">
      <c r="B32" s="56" t="s">
        <v>221</v>
      </c>
      <c r="C32" s="56"/>
      <c r="D32" s="17" t="s">
        <v>39</v>
      </c>
      <c r="F32" s="57" t="e">
        <f>IF(IP!$D$101="Monitored",Cal!F34,IF(IP!$D$101="Default",Cal!F33))</f>
        <v>#DIV/0!</v>
      </c>
      <c r="G32" s="57" t="e">
        <f>IF(IP!$D$101="Monitored",Cal!G34,IF(IP!$D$101="Default",Cal!G33))</f>
        <v>#DIV/0!</v>
      </c>
      <c r="H32" s="57" t="e">
        <f>IF(IP!$D$101="Monitored",Cal!H34,IF(IP!$D$101="Default",Cal!H33))</f>
        <v>#DIV/0!</v>
      </c>
      <c r="I32" s="57" t="e">
        <f>IF(IP!$D$101="Monitored",Cal!I34,IF(IP!$D$101="Default",Cal!I33))</f>
        <v>#DIV/0!</v>
      </c>
      <c r="J32" s="57" t="e">
        <f>IF(IP!$D$101="Monitored",Cal!J34,IF(IP!$D$101="Default",Cal!J33))</f>
        <v>#DIV/0!</v>
      </c>
      <c r="K32" s="57" t="e">
        <f>IF(IP!$D$101="Monitored",Cal!K34,IF(IP!$D$101="Default",Cal!K33))</f>
        <v>#DIV/0!</v>
      </c>
      <c r="L32" s="57" t="e">
        <f>IF(IP!$D$101="Monitored",Cal!L34,IF(IP!$D$101="Default",Cal!L33))</f>
        <v>#DIV/0!</v>
      </c>
      <c r="M32" s="57" t="e">
        <f>IF(IP!$D$101="Monitored",Cal!M34,IF(IP!$D$101="Default",Cal!M33))</f>
        <v>#DIV/0!</v>
      </c>
      <c r="N32" s="57" t="e">
        <f>IF(IP!$D$101="Monitored",Cal!N34,IF(IP!$D$101="Default",Cal!N33))</f>
        <v>#DIV/0!</v>
      </c>
      <c r="O32" s="57" t="e">
        <f>IF(IP!$D$101="Monitored",Cal!O34,IF(IP!$D$101="Default",Cal!O33))</f>
        <v>#DIV/0!</v>
      </c>
    </row>
    <row r="33" spans="1:15" outlineLevel="1">
      <c r="C33" s="17" t="s">
        <v>4</v>
      </c>
      <c r="D33" s="17" t="s">
        <v>39</v>
      </c>
      <c r="F33" s="57" t="e">
        <f>F7*(IF(IP!$D$100="Yes", IF(IP!$D$101="Default",IP!$D$102),0))</f>
        <v>#DIV/0!</v>
      </c>
      <c r="G33" s="57" t="e">
        <f>G7*(IF(IP!$D$100="Yes", IF(IP!$D$101="Default",IP!$D$102),0))</f>
        <v>#DIV/0!</v>
      </c>
      <c r="H33" s="57" t="e">
        <f>H7*(IF(IP!$D$100="Yes", IF(IP!$D$101="Default",IP!$D$102),0))</f>
        <v>#DIV/0!</v>
      </c>
      <c r="I33" s="57" t="e">
        <f>I7*(IF(IP!$D$100="Yes", IF(IP!$D$101="Default",IP!$D$102),0))</f>
        <v>#DIV/0!</v>
      </c>
      <c r="J33" s="57" t="e">
        <f>J7*(IF(IP!$D$100="Yes", IF(IP!$D$101="Default",IP!$D$102),0))</f>
        <v>#DIV/0!</v>
      </c>
      <c r="K33" s="57" t="e">
        <f>K7*(IF(IP!$D$100="Yes", IF(IP!$D$101="Default",IP!$D$102),0))</f>
        <v>#DIV/0!</v>
      </c>
      <c r="L33" s="57" t="e">
        <f>L7*(IF(IP!$D$100="Yes", IF(IP!$D$101="Default",IP!$D$102),0))</f>
        <v>#DIV/0!</v>
      </c>
      <c r="M33" s="57" t="e">
        <f>M7*(IF(IP!$D$100="Yes", IF(IP!$D$101="Default",IP!$D$102),0))</f>
        <v>#DIV/0!</v>
      </c>
      <c r="N33" s="57" t="e">
        <f>N7*(IF(IP!$D$100="Yes", IF(IP!$D$101="Default",IP!$D$102),0))</f>
        <v>#DIV/0!</v>
      </c>
      <c r="O33" s="57" t="e">
        <f>O7*(IF(IP!$D$100="Yes", IF(IP!$D$101="Default",IP!$D$102),0))</f>
        <v>#DIV/0!</v>
      </c>
    </row>
    <row r="34" spans="1:15" outlineLevel="1">
      <c r="C34" s="17" t="s">
        <v>231</v>
      </c>
      <c r="D34" s="17" t="s">
        <v>39</v>
      </c>
      <c r="F34" s="57" t="e">
        <f>F7*(IF(IP!$D$100="Yes", IF(IP!$D$101="Monitored",IP!$D$103),0))</f>
        <v>#DIV/0!</v>
      </c>
      <c r="G34" s="57" t="e">
        <f>G7*(IF(IP!$D$100="Yes", IF(IP!$D$101="Monitored",IP!$D$103),0))</f>
        <v>#DIV/0!</v>
      </c>
      <c r="H34" s="57" t="e">
        <f>H7*(IF(IP!$D$100="Yes", IF(IP!$D$101="Monitored",IP!$D$103),0))</f>
        <v>#DIV/0!</v>
      </c>
      <c r="I34" s="57" t="e">
        <f>I7*(IF(IP!$D$100="Yes", IF(IP!$D$101="Monitored",IP!$D$103),0))</f>
        <v>#DIV/0!</v>
      </c>
      <c r="J34" s="57" t="e">
        <f>J7*(IF(IP!$D$100="Yes", IF(IP!$D$101="Monitored",IP!$D$103),0))</f>
        <v>#DIV/0!</v>
      </c>
      <c r="K34" s="57" t="e">
        <f>K7*(IF(IP!$D$100="Yes", IF(IP!$D$101="Monitored",IP!$D$103),0))</f>
        <v>#DIV/0!</v>
      </c>
      <c r="L34" s="57" t="e">
        <f>L7*(IF(IP!$D$100="Yes", IF(IP!$D$101="Monitored",IP!$D$103),0))</f>
        <v>#DIV/0!</v>
      </c>
      <c r="M34" s="57" t="e">
        <f>M7*(IF(IP!$D$100="Yes", IF(IP!$D$101="Monitored",IP!$D$103),0))</f>
        <v>#DIV/0!</v>
      </c>
      <c r="N34" s="57" t="e">
        <f>N7*(IF(IP!$D$100="Yes", IF(IP!$D$101="Monitored",IP!$D$103),0))</f>
        <v>#DIV/0!</v>
      </c>
      <c r="O34" s="57" t="e">
        <f>O7*(IF(IP!$D$100="Yes", IF(IP!$D$101="Monitored",IP!$D$103),0))</f>
        <v>#DIV/0!</v>
      </c>
    </row>
    <row r="37" spans="1:15" ht="15.6">
      <c r="B37" s="127" t="s">
        <v>171</v>
      </c>
      <c r="C37" s="128" t="s">
        <v>219</v>
      </c>
      <c r="D37" s="127"/>
    </row>
    <row r="38" spans="1:15" outlineLevel="1">
      <c r="A38" s="20"/>
      <c r="B38" s="31" t="s">
        <v>196</v>
      </c>
      <c r="C38" s="31"/>
      <c r="D38" s="20" t="s">
        <v>38</v>
      </c>
      <c r="E38" s="24"/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spans="1:15" outlineLevel="1">
      <c r="A39" s="20"/>
      <c r="B39" s="29"/>
      <c r="C39" s="29" t="s">
        <v>56</v>
      </c>
      <c r="D39" s="19" t="s">
        <v>9</v>
      </c>
      <c r="E39" s="13"/>
      <c r="F39" s="167" t="str">
        <f>IF(IP!$D$111="Yes",((BG!D90*((F55*(F44*F45+F46))-((F55-F53)*(F43*F45+F46)))*(1-F47))),"NA")</f>
        <v>NA</v>
      </c>
      <c r="G39" s="167" t="str">
        <f>IF(IP!$D$111="Yes",((BG!E91*((G55*(G44*G45+G46))-((G55-G53)*(G43*G45+G46)))*(1-G47))+BG!E90*((F55*(F44*F45+F46))-((F55-F53)*(F43*F45+F46))*(1-F47))),"NA")</f>
        <v>NA</v>
      </c>
      <c r="H39" s="167" t="str">
        <f>IF(IP!$D$111="Yes",((BG!F92*((H55*(H44*H45+H46))-((H55-H53)*(H43*H45+H46)))*(1-H47))+(BG!F91*((G55*(G44*G45+G46))-((G55-G53)*(G43*G45+G46)))*(1-G47))+BG!F90*((F55*(F44*F45+F46))-((F55-F53)*(F43*F45+F46))*(1-F47))),"NA")</f>
        <v>NA</v>
      </c>
      <c r="I39" s="167" t="str">
        <f>IF(IP!$D$111="Yes",((BG!G93*((I55*(I44*I45+I46))-((I55-I53)*(I43*I45+I46)))*(1-I47))+(BG!G92*((H55*(H44*H45+H46))-((H55-H53)*(H43*H45+H46)))*(1-H47))+(BG!G91*((G55*(G44*G45+G46))-((G55-G53)*(G43*G45+G46)))*(1-G47))+BG!G90*((F55*(F44*F45+F46))-((F55-F53)*(F43*F45+F46))*(1-F47))),"NA")</f>
        <v>NA</v>
      </c>
      <c r="J39" s="167" t="str">
        <f>IF(IP!$D$111="Yes",((BG!H94*((J55*(J44*J45+J46))-((J55-J53)*(J43*J45+J46)))*(1-J47)))+(BG!H93*((I55*(I44*I45+I46))-((I55-I53)*(I43*I45+I46)))*(1-I47))+(BG!H92*((H55*(H44*H45+H46))-((H55-H53)*(H43*H45+H46)))*(1-H47))+(BG!H91*((G55*(G44*G45+G46))-((G55-G53)*(G43*G45+G46)))*(1-G47))+BG!H90*((F55*(F44*F45+F46))-((F55-F53)*(F43*F45+F46))*(1-F47)),"NA")</f>
        <v>NA</v>
      </c>
      <c r="K39" s="167" t="str">
        <f>IF(IP!$D$111="Yes",((BG!I95*((K55*(K44*K45+K46))-((K55-K53)*(K43*K45+K46)))*(1-K47))+BG!I94*((J55*(J44*J45+J46))-((J55-J53)*(J43*J45+J46)))*(1-J47))+(BG!I93*((I55*(I44*I45+I46))-((I55-I53)*(I43*I45+I46)))*(1-I47))+(BG!I92*((H55*(H44*H45+H46))-((H55-H53)*(H43*H45+H46)))*(1-H47))+(BG!I91*((G55*(G44*G45+G46))-((G55-G53)*(G43*G45+G46)))*(1-G47))+BG!I90*((F55*(F44*F45+F46))-((F55-F53)*(F43*F45+F46))*(1-F47)),"NA")</f>
        <v>NA</v>
      </c>
      <c r="L39" s="15" t="str">
        <f>IF(IP!$D$111="Yes",((BG!J96*((L55*(L44*L45+L46))-((L55-L53)*(L43*L45+L46)))*(1-L47))+(BG!J95*((K55*(K44*K45+K46))-((K55-K53)*(K43*K45+K46)))*(1-K47))+BG!J94*((J55*(J44*J45+J46))-((J55-J53)*(J43*J45+J46)))*(1-J47))+(BG!J93*((I55*(I44*I45+I46))-((I55-I53)*(I43*I45+I46)))*(1-I47))+(BG!J92*((H55*(H44*H45+H46))-((H55-H53)*(H43*H45+H46)))*(1-H47))+(BG!J91*((G55*(G44*G45+G46))-((G55-G53)*(G43*G45+G46)))*(1-G47))+BG!J90*((F55*(F44*F45+F46))-((F55-F53)*(F43*F45+F46))*(1-F47)),"NA")</f>
        <v>NA</v>
      </c>
      <c r="M39" s="15" t="str">
        <f>IF(IP!$D$111="Yes",((BG!K97*((M55*(M44*M45+M46))-((M55-M53)*(M43*M45+M46)))*(1-M47))+(BG!K96*((L55*(L44*L45+L46))-((L55-L53)*(L43*L45+L46)))*(1-L47))+(BG!K95*((K55*(K44*K45+K46))-((K55-K53)*(K43*K45+K46)))*(1-K47))+BG!K94*((J55*(J44*J45+J46))-((J55-J53)*(J43*J45+J46)))*(1-J47))+(BG!K93*((I55*(I44*I45+I46))-((I55-I53)*(I43*I45+I46)))*(1-I47))+(BG!K92*((H55*(H44*H45+H46))-((H55-H53)*(H43*H45+H46)))*(1-H47))+(BG!K91*((G55*(G44*G45+G46))-((G55-G53)*(G43*G45+G46)))*(1-G47))+BG!K90*((F55*(F44*F45+F46))-((F55-F53)*(F43*F45+F46))*(1-F47)),"NA")</f>
        <v>NA</v>
      </c>
      <c r="N39" s="15" t="str">
        <f>IF(IP!$D$111="Yes",((BG!L98*((N55*(N44*N45+N46))-((N55-N53)*(N43*N45+N46)))*(1-N47))+(BG!L97*((M55*(M44*M45+M46))-((M55-M53)*(M43*M45+M46)))*(1-M47))+(BG!L96*((L55*(L44*L45+L46))-((L55-L53)*(L43*L45+L46)))*(1-L47))+(BG!L95*((K55*(K44*K45+K46))-((K55-K53)*(K43*K45+K46)))*(1-K47))+BG!L94*((J55*(J44*J45+J46))-((J55-J53)*(J43*J45+J46)))*(1-J47))+(BG!L93*((I55*(I44*I45+I46))-((I55-I53)*(I43*I45+I46)))*(1-I47))+(BG!L92*((H55*(H44*H45+H46))-((H55-H53)*(H43*H45+H46)))*(1-H47))+(BG!L91*((G55*(G44*G45+G46))-((G55-G53)*(G43*G45+G46)))*(1-G47))+BG!L90*((F55*(F44*F45+F46))-((F55-F53)*(F43*F45+F46))),"NA")</f>
        <v>NA</v>
      </c>
      <c r="O39" s="15" t="str">
        <f>IF(IP!$D$111="Yes",((BG!M99*((O55*(O44*O45+O46))-((O55-O53)*(O43*O45+O46)))*(1-O47)+(BG!M98*((N55*(N44*N45+N46))-((N55-N53)*(N43*N45+N46)))*(1-N47))+(BG!M97*((M55*(M44*M45+M46))-((M55-M53)*(M43*M45+M46)))*(1-M47))+(BG!M96*((L55*(L44*L45+L46))-((L55-L53)*(L43*L45+L46)))*(1-L47))+(BG!M95*((K55*(K44*K45+K46))-((K55-K53)*(K43*K45+K46)))*(1-K47))+BG!M94*((J55*(J44*J45+J46))-((J55-J53)*(J43*J45+J46)))*(1-J47))+(BG!M93*((I55*(I44*I45+I46))-((I55-I53)*(I43*I45+I46)))*(1-I47))+(BG!M92*((H55*(H44*H45+H46))-((H55-H53)*(H43*H45+H46)))*(1-H47))+(BG!M91*((G55*(G44*G45+G46))-((G55-G53)*(G43*G45+G46)))*(1-G47))+BG!M90*((F55*(F44*F45+F46))-((F55-F53)*(F43*F45+F46)))),"NA")</f>
        <v>NA</v>
      </c>
    </row>
    <row r="40" spans="1:15" outlineLevel="1">
      <c r="A40" s="20"/>
      <c r="B40" s="29"/>
      <c r="C40" s="29" t="s">
        <v>0</v>
      </c>
      <c r="D40" s="19" t="s">
        <v>39</v>
      </c>
      <c r="E40" s="156"/>
      <c r="F40" s="162">
        <f>IF(IP!$D$111="NO",(BG!D90*((F53*(F44*F45+F46))-(F55*(F43*F45+F46)))*(1-F47)),"NA")</f>
        <v>0</v>
      </c>
      <c r="G40" s="162">
        <f>IF(IP!$D$111="NO",(BG!E91*((G53*(G44*G45+G46))-(G55*(G43*G45+G46)))*(1-G47)+(BG!E90*((F53*(F44*F45+F46))-(F55*(F43*F45+F46)))*(1-F47))),"NA")</f>
        <v>0</v>
      </c>
      <c r="H40" s="162">
        <f>IF(IP!$D$111="NO",(BG!F92*((H53*(H44*H45+H46))-(H55*(H43*H45+H46)))*(1-H47))+(BG!F91*((G53*(G44*G45+G46))-(G55*(G43*G45+G46)))*(1-G47)+(BG!F90*((F53*(F44*F45+F46))-(F55*(F43*F45+F46)))*(1-F47))),"NA")</f>
        <v>0</v>
      </c>
      <c r="I40" s="162">
        <f>IF(IP!$D$111="NO",(BG!G93*((I53*(I44*I45+I46))-(I55*(I43*I45+I46)))*(1-I47))+(BG!G92*((H53*(H44*H45+H46))-(H55*(H43*H45+H46)))*(1-H47))+(BG!G91*((G53*(G44*G45+G46))-(G55*(G43*G45+G46)))*(1-G47)+(BG!G90*((F53*(F44*F45+F46))-(F55*(F43*F45+F46)))*(1-F47))),"NA")</f>
        <v>0</v>
      </c>
      <c r="J40" s="162">
        <f>IF(IP!$D$111="NO",(BG!H94*((J53*(J44*J45+J46))-(J55*(J43*J45+J46)))*(1-J47))+(BG!H93*((I53*(I44*I45+I46))-(I55*(I43*I45+I46)))*(1-I47))+(BG!H92*((H53*(H44*H45+H46))-(H55*(H43*H45+H46)))*(1-H47))+(BG!H91*((G53*(G44*G45+G46))-(G55*(G43*G45+G46)))*(1-G47)+(BG!H90*((F53*(F44*F45+F46))-(F55*(F43*F45+F46)))*(1-F47))),"NA")</f>
        <v>0</v>
      </c>
      <c r="K40" s="162">
        <f>IF(IP!$D$111="NO",(BG!I95*((K53*(K44*K45+K46))-(K55*(K43*K45+K46)))*(1-K47))+(BG!I94*((J53*(J44*J45+J46))-(J55*(J43*J45+J46)))*(1-J47))+(BG!I93*((I53*(I44*I45+I46))-(I55*(I43*I45+I46)))*(1-I47))+(BG!I92*((H53*(H44*H45+H46))-(H55*(H43*H45+H46)))*(1-H47))+(BG!I91*((G53*(G44*G45+G46))-(G55*(G43*G45+G46)))*(1-G47)+(BG!I90*((F53*(F44*F45+F46))-(F55*(F43*F45+F46)))*(1-F47))),"NA")</f>
        <v>0</v>
      </c>
      <c r="L40" s="162">
        <f>IF(IP!$D$111="NO",(BG!J96*((L53*(L44*L45+L46))-(L55*(L43*L45+L46)))*(1-L47))+(BG!J95*((K53*(K44*K45+K46))-(K55*(K43*K45+K46)))*(1-K47))+(BG!J94*((J53*(J44*J45+J46))-(J55*(J43*J45+J46)))*(1-J47))+(BG!J93*((I53*(I44*I45+I46))-(I55*(I43*I45+I46)))*(1-I47))+(BG!J92*((H53*(H44*H45+H46))-(H55*(H43*H45+H46)))*(1-H47))+(BG!J91*((G53*(G44*G45+G46))-(G55*(G43*G45+G46)))*(1-G47)+(BG!J90*((F53*(F44*F45+F46))-(F55*(F43*F45+F46)))*(1-F47))),"NA")</f>
        <v>0</v>
      </c>
      <c r="M40" s="162">
        <f>IF(IP!$D$111="NO",(BG!K97*((M53*(M44*M45+M46))-(M55*(M43*M45+M46)))*(1-M47))+(BG!K96*((L53*(L44*L45+L46))-(L55*(L43*L45+L46)))*(1-L47))+(BG!J95*((K53*(K44*K45+K46))-(K55*(K43*K45+K46)))*(1-K47))+(BG!K94*((J53*(J44*J45+J46))-(J55*(J43*J45+J46)))*(1-J47))+(BG!K93*((I53*(I44*I45+I46))-(I55*(I43*I45+I46)))*(1-I47))+(BG!K92*((H53*(H44*H45+H46))-(H55*(H43*H45+H46)))*(1-H47))+(BG!K91*((G53*(G44*G45+G46))-(G55*(G43*G45+G46)))*(1-G47)+(BG!K90*((F53*(F44*F45+F46))-(F55*(F43*F45+F46)))*(1-F47))),"NA")</f>
        <v>0</v>
      </c>
      <c r="N40" s="162">
        <f>IF(IP!$D$111="NO",(BG!L98*((N53*(N44*N45+N46))-(N55*(N43*N45+N46)))*(1-N47))+(BG!L97*((M53*(M44*M45+M46))-(M55*(M43*M45+M46)))*(1-M47))+(BG!L96*((L53*(L44*L45+L46))-(L55*(L43*L45+L46)))*(1-L47))+(BG!L95*((K53*(K44*K45+K46))-(K55*(K43*K45+K46)))*(1-K47))+(BG!L94*((J53*(J44*J45+J46))-(J55*(J43*J45+J46)))*(1-J47))+(BG!L93*((I53*(I44*I45+I46))-(I55*(I43*I45+I46)))*(1-I47))+(BG!L92*((H53*(H44*H45+H46))-(H55*(H43*H45+H46)))*(1-H47))+(BG!L91*((G53*(G44*G45+G46))-(G55*(G43*G45+G46)))*(1-G47)+(BG!L90*((F53*(F44*F45+F46))-(F55*(F43*F45+F46)))*(1-F47))),"NA")</f>
        <v>0</v>
      </c>
      <c r="O40" s="162">
        <f>IF(IP!$D$111="NO",(BG!M99*((O53*(O44*O45+O46))-(O55*(O43*O45+O46)))*(1-O47))+(BG!M98*((N53*(N44*N45+N46))-(N55*(N43*N45+N46)))*(1-N47))+(BG!M97*((M53*(M44*M45+M46))-(M55*(M43*M45+M46)))*(1-M47))+(BG!M96*((L53*(L44*L45+L46))-(L55*(L43*L45+L46)))*(1-L47))+(BG!M95*((K53*(K44*K45+K46))-(K55*(K43*K45+K46)))*(1-K47))+(BG!M94*((J53*(J44*J45+J46))-(J55*(J43*J45+J46)))*(1-J47))+(BG!M93*((I53*(I44*I45+I46))-(I55*(I43*I45+I46)))*(1-I47))+(BG!M92*((H53*(H44*H45+H46))-(H55*(H43*H45+H46)))*(1-H47))+(BG!M91*((G53*(G44*G45+G46))-(G55*(G43*G45+G46)))*(1-G47)+(BG!M90*((F53*(F44*F45+F46))-(F55*(F43*F45+F46)))*(1-F47))),"NA")</f>
        <v>0</v>
      </c>
    </row>
    <row r="41" spans="1:15" outlineLevel="1">
      <c r="A41" s="20"/>
      <c r="B41" s="30" t="s">
        <v>77</v>
      </c>
      <c r="C41" s="14" t="s">
        <v>12</v>
      </c>
      <c r="D41" s="13" t="s">
        <v>119</v>
      </c>
      <c r="E41" s="17"/>
      <c r="F41" s="25">
        <f>IP!C168</f>
        <v>0</v>
      </c>
      <c r="G41" s="25">
        <f>IP!C169</f>
        <v>0</v>
      </c>
      <c r="H41" s="25">
        <f>IP!C170</f>
        <v>0</v>
      </c>
      <c r="I41" s="25">
        <f>IP!C171</f>
        <v>0</v>
      </c>
      <c r="J41" s="25">
        <f>IP!C172</f>
        <v>0</v>
      </c>
      <c r="K41" s="25">
        <f>IP!C173</f>
        <v>0</v>
      </c>
      <c r="L41" s="25">
        <f>IP!C174</f>
        <v>0</v>
      </c>
      <c r="M41" s="25">
        <f>IP!C175</f>
        <v>0</v>
      </c>
      <c r="N41" s="25">
        <f>IP!C176</f>
        <v>0</v>
      </c>
      <c r="O41" s="25">
        <f>IP!C177</f>
        <v>0</v>
      </c>
    </row>
    <row r="42" spans="1:15" outlineLevel="1">
      <c r="A42" s="20"/>
      <c r="B42" s="30" t="s">
        <v>78</v>
      </c>
      <c r="C42" s="14" t="s">
        <v>8</v>
      </c>
      <c r="D42" s="15" t="s">
        <v>85</v>
      </c>
      <c r="E42" s="13"/>
      <c r="F42" s="35" t="str">
        <f>IF(IP!$D$111="Yes",F53,"NA")</f>
        <v>NA</v>
      </c>
      <c r="G42" s="35" t="str">
        <f>IF(IP!$D$111="Yes",G53,"NA")</f>
        <v>NA</v>
      </c>
      <c r="H42" s="35" t="str">
        <f>IF(IP!$D$111="Yes",H53,"NA")</f>
        <v>NA</v>
      </c>
      <c r="I42" s="35" t="str">
        <f>IF(IP!$D$111="Yes",I53,"NA")</f>
        <v>NA</v>
      </c>
      <c r="J42" s="35" t="str">
        <f>IF(IP!$D$111="Yes",J53,"NA")</f>
        <v>NA</v>
      </c>
      <c r="K42" s="35" t="str">
        <f>IF(IP!$D$111="Yes",K53,"NA")</f>
        <v>NA</v>
      </c>
      <c r="L42" s="35" t="str">
        <f>IF(IP!$D$111="Yes",L53,"NA")</f>
        <v>NA</v>
      </c>
      <c r="M42" s="35" t="str">
        <f>IF(IP!$D$111="Yes",M53,"NA")</f>
        <v>NA</v>
      </c>
      <c r="N42" s="35" t="str">
        <f>IF(IP!$D$111="Yes",N53,"NA")</f>
        <v>NA</v>
      </c>
      <c r="O42" s="35" t="str">
        <f>IF(IP!$D$111="Yes",O53,"NA")</f>
        <v>NA</v>
      </c>
    </row>
    <row r="43" spans="1:15" outlineLevel="1">
      <c r="A43" s="20"/>
      <c r="B43" s="30" t="s">
        <v>204</v>
      </c>
      <c r="C43" s="14" t="s">
        <v>258</v>
      </c>
      <c r="D43" s="16" t="s">
        <v>15</v>
      </c>
      <c r="E43" s="13"/>
      <c r="F43" s="18">
        <f>IP!C196</f>
        <v>0</v>
      </c>
      <c r="G43" s="18">
        <f>IP!C197</f>
        <v>0</v>
      </c>
      <c r="H43" s="18">
        <f>IP!C198</f>
        <v>0</v>
      </c>
      <c r="I43" s="18">
        <f>IP!C199</f>
        <v>0</v>
      </c>
      <c r="J43" s="18">
        <f>IP!C200</f>
        <v>0</v>
      </c>
      <c r="K43" s="18">
        <f>IP!C201</f>
        <v>0</v>
      </c>
      <c r="L43" s="18">
        <f>IP!C202</f>
        <v>0</v>
      </c>
      <c r="M43" s="18">
        <f>IP!C203</f>
        <v>0</v>
      </c>
      <c r="N43" s="18">
        <f>IP!C204</f>
        <v>0</v>
      </c>
      <c r="O43" s="18">
        <f>IP!C205</f>
        <v>0</v>
      </c>
    </row>
    <row r="44" spans="1:15" outlineLevel="1">
      <c r="A44" s="20"/>
      <c r="B44" s="30" t="s">
        <v>205</v>
      </c>
      <c r="C44" s="14" t="s">
        <v>37</v>
      </c>
      <c r="D44" s="16" t="s">
        <v>15</v>
      </c>
      <c r="E44" s="13"/>
      <c r="F44" s="18">
        <f>IP!$D$192</f>
        <v>0</v>
      </c>
      <c r="G44" s="18">
        <f>IP!$D$192</f>
        <v>0</v>
      </c>
      <c r="H44" s="18">
        <f>IP!$D$192</f>
        <v>0</v>
      </c>
      <c r="I44" s="18">
        <f>IP!$D$192</f>
        <v>0</v>
      </c>
      <c r="J44" s="18">
        <f>IP!$D$192</f>
        <v>0</v>
      </c>
      <c r="K44" s="18">
        <f>IP!$D$192</f>
        <v>0</v>
      </c>
      <c r="L44" s="18">
        <f>IP!$D$192</f>
        <v>0</v>
      </c>
      <c r="M44" s="18">
        <f>IP!$D$192</f>
        <v>0</v>
      </c>
      <c r="N44" s="18">
        <f>IP!$D$192</f>
        <v>0</v>
      </c>
      <c r="O44" s="18">
        <f>IP!$D$192</f>
        <v>0</v>
      </c>
    </row>
    <row r="45" spans="1:15" outlineLevel="1">
      <c r="A45" s="20"/>
      <c r="B45" s="30" t="s">
        <v>81</v>
      </c>
      <c r="C45" s="14" t="s">
        <v>68</v>
      </c>
      <c r="D45" s="13" t="s">
        <v>161</v>
      </c>
      <c r="E45" s="13"/>
      <c r="F45" s="35">
        <f>BG!$D$3</f>
        <v>1.7471999999999999</v>
      </c>
      <c r="G45" s="35">
        <f>BG!$D$3</f>
        <v>1.7471999999999999</v>
      </c>
      <c r="H45" s="35">
        <f>BG!$D$3</f>
        <v>1.7471999999999999</v>
      </c>
      <c r="I45" s="35">
        <f>BG!$D$3</f>
        <v>1.7471999999999999</v>
      </c>
      <c r="J45" s="35">
        <f>BG!$D$3</f>
        <v>1.7471999999999999</v>
      </c>
      <c r="K45" s="35">
        <f>BG!$D$3</f>
        <v>1.7471999999999999</v>
      </c>
      <c r="L45" s="35">
        <f>BG!$D$3</f>
        <v>1.7471999999999999</v>
      </c>
      <c r="M45" s="35">
        <f>BG!$D$3</f>
        <v>1.7471999999999999</v>
      </c>
      <c r="N45" s="35">
        <f>BG!$D$3</f>
        <v>1.7471999999999999</v>
      </c>
      <c r="O45" s="35">
        <f>BG!$D$3</f>
        <v>1.7471999999999999</v>
      </c>
    </row>
    <row r="46" spans="1:15" outlineLevel="1">
      <c r="A46" s="20"/>
      <c r="B46" s="30" t="s">
        <v>109</v>
      </c>
      <c r="C46" s="14" t="s">
        <v>67</v>
      </c>
      <c r="D46" s="13" t="s">
        <v>162</v>
      </c>
      <c r="E46" s="13"/>
      <c r="F46" s="28">
        <f>IF(IP!$D$115&gt;=BG!$F$5,BG!$D$5,BG!$D$4)</f>
        <v>0.45538739999999994</v>
      </c>
      <c r="G46" s="28">
        <f>IF(IP!$D$115&gt;=BG!$F$5,BG!$D$5,BG!$D$4)</f>
        <v>0.45538739999999994</v>
      </c>
      <c r="H46" s="28">
        <f>IF(IP!$D$115&gt;=BG!$F$5,BG!$D$5,BG!$D$4)</f>
        <v>0.45538739999999994</v>
      </c>
      <c r="I46" s="28">
        <f>IF(IP!$D$115&gt;=BG!$F$5,BG!$D$5,BG!$D$4)</f>
        <v>0.45538739999999994</v>
      </c>
      <c r="J46" s="28">
        <f>IF(IP!$D$115&gt;=BG!$F$5,BG!$D$5,BG!$D$4)</f>
        <v>0.45538739999999994</v>
      </c>
      <c r="K46" s="28">
        <f>IF(IP!$D$115&gt;=BG!$F$5,BG!$D$5,BG!$D$4)</f>
        <v>0.45538739999999994</v>
      </c>
      <c r="L46" s="28">
        <f>IF(IP!$D$115&gt;=BG!$F$5,BG!$D$5,BG!$D$4)</f>
        <v>0.45538739999999994</v>
      </c>
      <c r="M46" s="28">
        <f>IF(IP!$D$115&gt;=BG!$F$5,BG!$D$5,BG!$D$4)</f>
        <v>0.45538739999999994</v>
      </c>
      <c r="N46" s="28">
        <f>IF(IP!$D$115&gt;=BG!$F$5,BG!$D$5,BG!$D$4)</f>
        <v>0.45538739999999994</v>
      </c>
      <c r="O46" s="28">
        <f>IF(IP!$D$115&gt;=BG!$F$5,BG!$D$5,BG!$D$4)</f>
        <v>0.45538739999999994</v>
      </c>
    </row>
    <row r="47" spans="1:15" outlineLevel="1">
      <c r="A47" s="20"/>
      <c r="B47" s="30" t="s">
        <v>82</v>
      </c>
      <c r="C47" s="14" t="s">
        <v>72</v>
      </c>
      <c r="D47" s="16" t="s">
        <v>235</v>
      </c>
      <c r="E47" s="13"/>
      <c r="F47" s="25">
        <f>IP!C181</f>
        <v>0</v>
      </c>
      <c r="G47" s="25">
        <f>IP!C182</f>
        <v>0</v>
      </c>
      <c r="H47" s="25">
        <f>IP!C183</f>
        <v>0</v>
      </c>
      <c r="I47" s="25">
        <f>IP!C183</f>
        <v>0</v>
      </c>
      <c r="J47" s="25">
        <f>IP!C184</f>
        <v>0</v>
      </c>
      <c r="K47" s="25">
        <f>IP!C185</f>
        <v>0</v>
      </c>
      <c r="L47" s="25">
        <f>IP!C186</f>
        <v>0</v>
      </c>
      <c r="M47" s="25">
        <f>IP!C187</f>
        <v>0</v>
      </c>
      <c r="N47" s="25">
        <f>IP!C188</f>
        <v>0</v>
      </c>
      <c r="O47" s="25">
        <f>IP!C189</f>
        <v>0</v>
      </c>
    </row>
    <row r="48" spans="1:15" outlineLevel="1">
      <c r="A48" s="20"/>
      <c r="B48" s="30" t="s">
        <v>73</v>
      </c>
      <c r="C48" s="14" t="s">
        <v>74</v>
      </c>
      <c r="D48" s="13"/>
      <c r="E48" s="13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outlineLevel="1">
      <c r="A49" s="20"/>
      <c r="B49" s="30" t="s">
        <v>75</v>
      </c>
      <c r="C49" s="14" t="s">
        <v>76</v>
      </c>
      <c r="D49" s="22"/>
      <c r="E49" s="13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outlineLevel="1">
      <c r="A50" s="20"/>
      <c r="B50" s="20"/>
      <c r="C50" s="23"/>
      <c r="D50" s="20"/>
      <c r="E50" s="13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outlineLevel="1">
      <c r="A51" s="20"/>
      <c r="B51" s="31" t="s">
        <v>97</v>
      </c>
      <c r="C51" s="31"/>
      <c r="D51" s="22"/>
      <c r="E51" s="13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outlineLevel="1">
      <c r="A52" s="20"/>
      <c r="B52" s="29" t="s">
        <v>111</v>
      </c>
      <c r="C52" s="29"/>
      <c r="D52" s="24"/>
      <c r="E52" s="30"/>
      <c r="F52" s="34"/>
      <c r="G52" s="34"/>
      <c r="H52" s="34"/>
      <c r="I52" s="34"/>
      <c r="J52" s="34"/>
      <c r="K52" s="34"/>
      <c r="L52" s="34"/>
      <c r="M52" s="34"/>
      <c r="N52" s="34"/>
      <c r="O52" s="34"/>
    </row>
    <row r="53" spans="1:15" outlineLevel="1">
      <c r="A53" s="20"/>
      <c r="B53" s="30" t="s">
        <v>64</v>
      </c>
      <c r="C53" s="14" t="s">
        <v>66</v>
      </c>
      <c r="D53" s="15" t="s">
        <v>6</v>
      </c>
      <c r="E53" s="13"/>
      <c r="F53" s="35">
        <f>IF(IP!$D$111="NO",F55,F55*(1-F54/F56))</f>
        <v>0</v>
      </c>
      <c r="G53" s="35">
        <f>IF(IP!$D$111="NO",G55,G55*(1-G54/G56))</f>
        <v>0</v>
      </c>
      <c r="H53" s="35">
        <f>IF(IP!$D$111="NO",H55,H55*(1-H54/H56))</f>
        <v>0</v>
      </c>
      <c r="I53" s="35">
        <f>IF(IP!$D$111="NO",I55,I55*(1-I54/I56))</f>
        <v>0</v>
      </c>
      <c r="J53" s="35">
        <f>IF(IP!$D$111="NO",J55,J55*(1-J54/J56))</f>
        <v>0</v>
      </c>
      <c r="K53" s="35">
        <f>IF(IP!$D$111="NO",K55,K55*(1-K54/K56))</f>
        <v>0</v>
      </c>
      <c r="L53" s="35">
        <f>IF(IP!$D$111="NO",L55,L55*(1-L54/L56))</f>
        <v>0</v>
      </c>
      <c r="M53" s="35">
        <f>IF(IP!$D$111="NO",M55,M55*(1-M54/M56))</f>
        <v>0</v>
      </c>
      <c r="N53" s="35">
        <f>IF(IP!$D$111="NO",N55,N55*(1-N54/N56))</f>
        <v>0</v>
      </c>
      <c r="O53" s="35">
        <f>IF(IP!$D$111="NO",O55,O55*(1-O54/O56))</f>
        <v>0</v>
      </c>
    </row>
    <row r="54" spans="1:15" outlineLevel="1">
      <c r="A54" s="20"/>
      <c r="B54" s="30" t="s">
        <v>198</v>
      </c>
      <c r="C54" s="14" t="s">
        <v>203</v>
      </c>
      <c r="D54" s="16" t="s">
        <v>103</v>
      </c>
      <c r="E54" s="13"/>
      <c r="F54" s="18">
        <f>IF(IP!$D$111="No",F56,IP!$D$146)</f>
        <v>9.4E-2</v>
      </c>
      <c r="G54" s="18">
        <f>IF(IP!$D$111="No",G56,IP!$D$146)</f>
        <v>9.3060000000000004E-2</v>
      </c>
      <c r="H54" s="18">
        <f>IF(IP!$D$111="No",H56,IP!$D$146)</f>
        <v>9.2119999999999994E-2</v>
      </c>
      <c r="I54" s="18">
        <f>IF(IP!$D$111="No",I56,IP!$D$146)</f>
        <v>9.1179999999999997E-2</v>
      </c>
      <c r="J54" s="18">
        <f>IF(IP!$D$111="No",J56,IP!$D$146)</f>
        <v>9.0240000000000001E-2</v>
      </c>
      <c r="K54" s="18">
        <f>IF(IP!$D$111="No",K56,IP!$D$146)</f>
        <v>8.929999999999999E-2</v>
      </c>
      <c r="L54" s="18">
        <f>IF(IP!$D$111="No",L56,IP!$D$146)</f>
        <v>8.8359999999999994E-2</v>
      </c>
      <c r="M54" s="18">
        <f>IF(IP!$D$111="No",M56,IP!$D$146)</f>
        <v>8.7420000000000012E-2</v>
      </c>
      <c r="N54" s="18">
        <f>IF(IP!$D$111="No",N56,IP!$D$146)</f>
        <v>8.6480000000000001E-2</v>
      </c>
      <c r="O54" s="18">
        <f>IF(IP!$D$111="No",O56,IP!$D$146)</f>
        <v>8.5540000000000005E-2</v>
      </c>
    </row>
    <row r="55" spans="1:15" outlineLevel="1">
      <c r="A55" s="20"/>
      <c r="B55" s="30" t="s">
        <v>252</v>
      </c>
      <c r="C55" s="14" t="s">
        <v>251</v>
      </c>
      <c r="D55" s="16"/>
      <c r="E55" s="13"/>
      <c r="F55" s="35">
        <f>IF(IP!$D$111="NO",(IP!$D$141/IP!$D$146*Cal!F56),IP!$D$141)</f>
        <v>0</v>
      </c>
      <c r="G55" s="35">
        <f>IF(IP!$D$111="NO",(IP!$D$141/IP!$D$146*Cal!G56),IP!$D$141)</f>
        <v>0</v>
      </c>
      <c r="H55" s="35">
        <f>IF(IP!$D$111="NO",(IP!$D$141/IP!$D$146*Cal!H56),IP!$D$141)</f>
        <v>0</v>
      </c>
      <c r="I55" s="35">
        <f>IF(IP!$D$111="NO",(IP!$D$141/IP!$D$146*Cal!I56),IP!$D$141)</f>
        <v>0</v>
      </c>
      <c r="J55" s="35">
        <f>IF(IP!$D$111="NO",(IP!$D$141/IP!$D$146*Cal!J56),IP!$D$141)</f>
        <v>0</v>
      </c>
      <c r="K55" s="35">
        <f>IF(IP!$D$111="NO",(IP!$D$141/IP!$D$146*Cal!K56),IP!$D$141)</f>
        <v>0</v>
      </c>
      <c r="L55" s="35">
        <f>IF(IP!$D$111="NO",(IP!$D$141/IP!$D$146*Cal!L56),IP!$D$141)</f>
        <v>0</v>
      </c>
      <c r="M55" s="35">
        <f>IF(IP!$D$111="NO",(IP!$D$141/IP!$D$146*Cal!M56),IP!$D$141)</f>
        <v>0</v>
      </c>
      <c r="N55" s="35">
        <f>IF(IP!$D$111="NO",(IP!$D$141/IP!$D$146*Cal!N56),IP!$D$141)</f>
        <v>0</v>
      </c>
      <c r="O55" s="35">
        <f>IF(IP!$D$111="NO",(IP!$D$141/IP!$D$146*Cal!O56),IP!$D$141)</f>
        <v>0</v>
      </c>
    </row>
    <row r="56" spans="1:15" outlineLevel="1">
      <c r="A56" s="20"/>
      <c r="B56" s="30" t="s">
        <v>99</v>
      </c>
      <c r="C56" s="14" t="s">
        <v>65</v>
      </c>
      <c r="D56" s="16" t="s">
        <v>103</v>
      </c>
      <c r="E56" s="13"/>
      <c r="F56" s="18">
        <f>F61</f>
        <v>9.4E-2</v>
      </c>
      <c r="G56" s="18">
        <f t="shared" ref="G56:O56" si="4">G61</f>
        <v>9.3060000000000004E-2</v>
      </c>
      <c r="H56" s="18">
        <f t="shared" si="4"/>
        <v>9.2119999999999994E-2</v>
      </c>
      <c r="I56" s="18">
        <f t="shared" si="4"/>
        <v>9.1179999999999997E-2</v>
      </c>
      <c r="J56" s="18">
        <f t="shared" si="4"/>
        <v>9.0240000000000001E-2</v>
      </c>
      <c r="K56" s="18">
        <f t="shared" si="4"/>
        <v>8.929999999999999E-2</v>
      </c>
      <c r="L56" s="18">
        <f t="shared" si="4"/>
        <v>8.8359999999999994E-2</v>
      </c>
      <c r="M56" s="18">
        <f t="shared" si="4"/>
        <v>8.7420000000000012E-2</v>
      </c>
      <c r="N56" s="18">
        <f t="shared" si="4"/>
        <v>8.6480000000000001E-2</v>
      </c>
      <c r="O56" s="18">
        <f t="shared" si="4"/>
        <v>8.5540000000000005E-2</v>
      </c>
    </row>
    <row r="57" spans="1:15" outlineLevel="1">
      <c r="A57" s="20"/>
      <c r="C57" s="12"/>
      <c r="D57" s="20"/>
      <c r="E57" s="13"/>
    </row>
    <row r="58" spans="1:15" outlineLevel="1">
      <c r="A58" s="20"/>
      <c r="B58" s="32" t="s">
        <v>197</v>
      </c>
      <c r="C58" s="32"/>
      <c r="D58" s="20"/>
      <c r="E58" s="13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outlineLevel="1">
      <c r="A59" s="20"/>
      <c r="B59" s="32"/>
      <c r="C59" s="32"/>
      <c r="D59" s="20"/>
      <c r="E59" s="13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 outlineLevel="1">
      <c r="A60" s="20"/>
      <c r="B60" s="32" t="s">
        <v>199</v>
      </c>
      <c r="C60" s="32"/>
      <c r="D60" s="20"/>
      <c r="E60" s="22"/>
      <c r="F60" s="21"/>
      <c r="G60" s="21"/>
      <c r="H60" s="21"/>
      <c r="I60" s="21"/>
      <c r="J60" s="21"/>
      <c r="K60" s="21"/>
      <c r="L60" s="21"/>
      <c r="M60" s="21"/>
      <c r="N60" s="21"/>
      <c r="O60" s="21"/>
    </row>
    <row r="61" spans="1:15" outlineLevel="1">
      <c r="A61" s="20"/>
      <c r="B61" s="30" t="s">
        <v>27</v>
      </c>
      <c r="C61" s="14" t="s">
        <v>104</v>
      </c>
      <c r="D61" s="13" t="s">
        <v>103</v>
      </c>
      <c r="E61" s="30"/>
      <c r="F61" s="154">
        <f>F62</f>
        <v>9.4E-2</v>
      </c>
      <c r="G61" s="154">
        <f t="shared" ref="G61:O61" si="5">G62</f>
        <v>9.3060000000000004E-2</v>
      </c>
      <c r="H61" s="154">
        <f t="shared" si="5"/>
        <v>9.2119999999999994E-2</v>
      </c>
      <c r="I61" s="154">
        <f t="shared" si="5"/>
        <v>9.1179999999999997E-2</v>
      </c>
      <c r="J61" s="154">
        <f t="shared" si="5"/>
        <v>9.0240000000000001E-2</v>
      </c>
      <c r="K61" s="154">
        <f t="shared" si="5"/>
        <v>8.929999999999999E-2</v>
      </c>
      <c r="L61" s="154">
        <f t="shared" si="5"/>
        <v>8.8359999999999994E-2</v>
      </c>
      <c r="M61" s="154">
        <f t="shared" si="5"/>
        <v>8.7420000000000012E-2</v>
      </c>
      <c r="N61" s="154">
        <f t="shared" si="5"/>
        <v>8.6480000000000001E-2</v>
      </c>
      <c r="O61" s="154">
        <f t="shared" si="5"/>
        <v>8.5540000000000005E-2</v>
      </c>
    </row>
    <row r="62" spans="1:15" outlineLevel="1">
      <c r="A62" s="20"/>
      <c r="B62" s="30" t="s">
        <v>11</v>
      </c>
      <c r="C62" s="14" t="s">
        <v>84</v>
      </c>
      <c r="D62" s="13" t="s">
        <v>103</v>
      </c>
      <c r="E62" s="13"/>
      <c r="F62" s="155">
        <f>(IP!C155*Cal!F64)</f>
        <v>9.4E-2</v>
      </c>
      <c r="G62" s="155">
        <f>(IP!C156*Cal!G64)</f>
        <v>9.3060000000000004E-2</v>
      </c>
      <c r="H62" s="155">
        <f>(IP!C157*Cal!H64)</f>
        <v>9.2119999999999994E-2</v>
      </c>
      <c r="I62" s="155">
        <f>(IP!C158*Cal!I64)</f>
        <v>9.1179999999999997E-2</v>
      </c>
      <c r="J62" s="155">
        <f>(IP!C159*Cal!J64)</f>
        <v>9.0240000000000001E-2</v>
      </c>
      <c r="K62" s="155">
        <f>(IP!C160*Cal!K64)</f>
        <v>8.929999999999999E-2</v>
      </c>
      <c r="L62" s="155">
        <f>(IP!C161*Cal!L64)</f>
        <v>8.8359999999999994E-2</v>
      </c>
      <c r="M62" s="155">
        <f>(IP!C162*Cal!M64)</f>
        <v>8.7420000000000012E-2</v>
      </c>
      <c r="N62" s="155">
        <f>(IP!C163*Cal!N64)</f>
        <v>8.6480000000000001E-2</v>
      </c>
      <c r="O62" s="155">
        <f>(IP!C164*Cal!O64)</f>
        <v>8.5540000000000005E-2</v>
      </c>
    </row>
    <row r="63" spans="1:15" outlineLevel="1">
      <c r="A63" s="20"/>
      <c r="B63" s="30" t="s">
        <v>123</v>
      </c>
      <c r="C63" s="14" t="s">
        <v>266</v>
      </c>
      <c r="D63" s="13" t="s">
        <v>15</v>
      </c>
      <c r="E63" s="13"/>
      <c r="F63" s="15">
        <f>IF(IP!$D$152="Default",IP!$C$153,"Monitored")</f>
        <v>0.01</v>
      </c>
      <c r="G63" s="15">
        <f>IF(IP!$D$152="Default",IP!$C$153,"Monitored")</f>
        <v>0.01</v>
      </c>
      <c r="H63" s="15">
        <f>IF(IP!$D$152="Default",IP!$C$153,"Monitored")</f>
        <v>0.01</v>
      </c>
      <c r="I63" s="15">
        <f>IF(IP!$D$152="Default",IP!$C$153,"Monitored")</f>
        <v>0.01</v>
      </c>
      <c r="J63" s="15">
        <f>IF(IP!$D$152="Default",IP!$C$153,"Monitored")</f>
        <v>0.01</v>
      </c>
      <c r="K63" s="15">
        <f>IF(IP!$D$152="Default",IP!$C$153,"Monitored")</f>
        <v>0.01</v>
      </c>
      <c r="L63" s="15">
        <f>IF(IP!$D$152="Default",IP!$C$153,"Monitored")</f>
        <v>0.01</v>
      </c>
      <c r="M63" s="15">
        <f>IF(IP!$D$152="Default",IP!$C$153,"Monitored")</f>
        <v>0.01</v>
      </c>
      <c r="N63" s="15">
        <f>IF(IP!$D$152="Default",IP!$C$153,"Monitored")</f>
        <v>0.01</v>
      </c>
      <c r="O63" s="15">
        <f>IF(IP!$D$152="Default",IP!$C$153,"Monitored")</f>
        <v>0.01</v>
      </c>
    </row>
    <row r="64" spans="1:15" outlineLevel="1">
      <c r="A64" s="20"/>
      <c r="B64" s="33">
        <v>0.94</v>
      </c>
      <c r="C64" s="14" t="s">
        <v>22</v>
      </c>
      <c r="D64" s="13" t="s">
        <v>120</v>
      </c>
      <c r="E64" s="13"/>
      <c r="F64" s="15">
        <v>0.94</v>
      </c>
      <c r="G64" s="15">
        <v>0.94</v>
      </c>
      <c r="H64" s="15">
        <v>0.94</v>
      </c>
      <c r="I64" s="15">
        <v>0.94</v>
      </c>
      <c r="J64" s="15">
        <v>0.94</v>
      </c>
      <c r="K64" s="15">
        <v>0.94</v>
      </c>
      <c r="L64" s="15">
        <v>0.94</v>
      </c>
      <c r="M64" s="15">
        <v>0.94</v>
      </c>
      <c r="N64" s="15">
        <v>0.94</v>
      </c>
      <c r="O64" s="15">
        <v>0.94</v>
      </c>
    </row>
    <row r="65" spans="2:15" outlineLevel="1"/>
    <row r="66" spans="2:15" outlineLevel="1">
      <c r="B66" s="56" t="s">
        <v>221</v>
      </c>
      <c r="C66" s="56"/>
      <c r="D66" s="17" t="s">
        <v>39</v>
      </c>
      <c r="F66" s="131" t="b">
        <f>F67</f>
        <v>0</v>
      </c>
      <c r="G66" s="131" t="b">
        <f t="shared" ref="G66:O66" si="6">G67</f>
        <v>0</v>
      </c>
      <c r="H66" s="131" t="b">
        <f t="shared" si="6"/>
        <v>0</v>
      </c>
      <c r="I66" s="131" t="b">
        <f t="shared" si="6"/>
        <v>0</v>
      </c>
      <c r="J66" s="131" t="b">
        <f t="shared" si="6"/>
        <v>0</v>
      </c>
      <c r="K66" s="131" t="b">
        <f t="shared" si="6"/>
        <v>0</v>
      </c>
      <c r="L66" s="131" t="b">
        <f t="shared" si="6"/>
        <v>0</v>
      </c>
      <c r="M66" s="131" t="b">
        <f t="shared" si="6"/>
        <v>0</v>
      </c>
      <c r="N66" s="131" t="b">
        <f t="shared" si="6"/>
        <v>0</v>
      </c>
      <c r="O66" s="131" t="b">
        <f t="shared" si="6"/>
        <v>0</v>
      </c>
    </row>
    <row r="67" spans="2:15" outlineLevel="1">
      <c r="C67" s="17"/>
      <c r="D67" s="17" t="s">
        <v>39</v>
      </c>
      <c r="F67" s="131" t="b">
        <f>IF(IP!$D$111="Yes",IF(IP!$D$209="Yes",IF(IP!$D$210="Default",IP!$D$211*Cal!F39,IP!$D$212*Cal!F39)))</f>
        <v>0</v>
      </c>
      <c r="G67" s="131" t="b">
        <f>IF(IP!$D$111="Yes",IF(IP!$D$209="Yes",IF(IP!$D$210="Default",IP!$D$211*Cal!G39,IP!$D$212*Cal!G39)))</f>
        <v>0</v>
      </c>
      <c r="H67" s="131" t="b">
        <f>IF(IP!$D$111="Yes",IF(IP!$D$209="Yes",IF(IP!$D$210="Default",IP!$D$211*Cal!H39,IP!$D$212*Cal!H39)))</f>
        <v>0</v>
      </c>
      <c r="I67" s="131" t="b">
        <f>IF(IP!$D$111="Yes",IF(IP!$D$209="Yes",IF(IP!$D$210="Default",IP!$D$211*Cal!I39,IP!$D$212*Cal!I39)))</f>
        <v>0</v>
      </c>
      <c r="J67" s="131" t="b">
        <f>IF(IP!$D$111="Yes",IF(IP!$D$209="Yes",IF(IP!$D$210="Default",IP!$D$211*Cal!J39,IP!$D$212*Cal!J39)))</f>
        <v>0</v>
      </c>
      <c r="K67" s="131" t="b">
        <f>IF(IP!$D$111="Yes",IF(IP!$D$209="Yes",IF(IP!$D$210="Default",IP!$D$211*Cal!K39,IP!$D$212*Cal!K39)))</f>
        <v>0</v>
      </c>
      <c r="L67" s="131" t="b">
        <f>IF(IP!$D$111="Yes",IF(IP!$D$209="Yes",IF(IP!$D$210="Default",IP!$D$211*Cal!L39,IP!$D$212*Cal!L39)))</f>
        <v>0</v>
      </c>
      <c r="M67" s="131" t="b">
        <f>IF(IP!$D$111="Yes",IF(IP!$D$209="Yes",IF(IP!$D$210="Default",IP!$D$211*Cal!M39,IP!$D$212*Cal!M39)))</f>
        <v>0</v>
      </c>
      <c r="N67" s="131" t="b">
        <f>IF(IP!$D$111="Yes",IF(IP!$D$209="Yes",IF(IP!$D$210="Default",IP!$D$211*Cal!N39,IP!$D$212*Cal!N39)))</f>
        <v>0</v>
      </c>
      <c r="O67" s="131" t="b">
        <f>IF(IP!$D$111="Yes",IF(IP!$D$209="Yes",IF(IP!$D$210="Default",IP!$D$211*Cal!O39,IP!$D$212*Cal!O39)))</f>
        <v>0</v>
      </c>
    </row>
    <row r="68" spans="2:15" outlineLevel="1"/>
    <row r="71" spans="2:15">
      <c r="F71" s="141"/>
    </row>
    <row r="72" spans="2:15">
      <c r="F72" s="141"/>
    </row>
    <row r="73" spans="2:15">
      <c r="F73" s="142"/>
    </row>
  </sheetData>
  <sheetProtection algorithmName="SHA-512" hashValue="G54dALxlqg2IVQT1VLAyy7kxFL/wpPbMDCm3xSNZ6D+D8KB/AqDQY2JPDCMUpCWpQiNNKmCvE1MrTE2Zi156lw==" saltValue="UUxTGWmyBKqfeWQKdQ3JVw==" spinCount="100000" sheet="1" objects="1" scenarios="1"/>
  <phoneticPr fontId="22" type="noConversion"/>
  <conditionalFormatting sqref="F42:O42">
    <cfRule type="cellIs" dxfId="11" priority="0" stopIfTrue="1" operator="equal">
      <formula>"NA"</formula>
    </cfRule>
  </conditionalFormatting>
  <conditionalFormatting sqref="F39:O39">
    <cfRule type="cellIs" dxfId="10" priority="9" stopIfTrue="1" operator="equal">
      <formula>"NA"</formula>
    </cfRule>
  </conditionalFormatting>
  <conditionalFormatting sqref="F40:O40">
    <cfRule type="cellIs" dxfId="9" priority="10" stopIfTrue="1" operator="equal">
      <formula>"NA"</formula>
    </cfRule>
  </conditionalFormatting>
  <conditionalFormatting sqref="F40">
    <cfRule type="expression" dxfId="8" priority="8">
      <formula>$F$41="0"</formula>
    </cfRule>
  </conditionalFormatting>
  <conditionalFormatting sqref="I40">
    <cfRule type="expression" dxfId="7" priority="7">
      <formula>$I$41=0</formula>
    </cfRule>
  </conditionalFormatting>
  <conditionalFormatting sqref="J40">
    <cfRule type="expression" dxfId="6" priority="6">
      <formula>$J$41=0</formula>
    </cfRule>
  </conditionalFormatting>
  <conditionalFormatting sqref="K40">
    <cfRule type="expression" dxfId="5" priority="5">
      <formula>$K$41=0</formula>
    </cfRule>
  </conditionalFormatting>
  <conditionalFormatting sqref="L40">
    <cfRule type="expression" dxfId="4" priority="4">
      <formula>$L$41=0</formula>
    </cfRule>
  </conditionalFormatting>
  <conditionalFormatting sqref="M40">
    <cfRule type="expression" dxfId="3" priority="3">
      <formula>$M$41=0</formula>
    </cfRule>
  </conditionalFormatting>
  <conditionalFormatting sqref="N40">
    <cfRule type="expression" dxfId="2" priority="2">
      <formula>$N$41=0</formula>
    </cfRule>
  </conditionalFormatting>
  <conditionalFormatting sqref="O40">
    <cfRule type="expression" dxfId="1" priority="1">
      <formula>$O$41=0</formula>
    </cfRule>
  </conditionalFormatting>
  <pageMargins left="0.75" right="0.75" top="1" bottom="1" header="0.5" footer="0.5"/>
  <pageSetup orientation="portrait" horizontalDpi="4294967292" verticalDpi="4294967292"/>
  <drawing r:id="rId1"/>
  <legacyDrawing r:id="rId2"/>
  <oleObjects>
    <mc:AlternateContent xmlns:mc="http://schemas.openxmlformats.org/markup-compatibility/2006">
      <mc:Choice Requires="x14">
        <oleObject progId="Equation.3" shapeId="11267" r:id="rId3">
          <objectPr defaultSize="0" autoPict="0" r:id="rId4">
            <anchor moveWithCells="1">
              <from>
                <xdr:col>2</xdr:col>
                <xdr:colOff>137160</xdr:colOff>
                <xdr:row>4</xdr:row>
                <xdr:rowOff>0</xdr:rowOff>
              </from>
              <to>
                <xdr:col>2</xdr:col>
                <xdr:colOff>5090160</xdr:colOff>
                <xdr:row>5</xdr:row>
                <xdr:rowOff>137160</xdr:rowOff>
              </to>
            </anchor>
          </objectPr>
        </oleObject>
      </mc:Choice>
      <mc:Fallback>
        <oleObject progId="Equation.3" shapeId="11267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I42"/>
  <sheetViews>
    <sheetView workbookViewId="0">
      <selection activeCell="F21" sqref="F21"/>
    </sheetView>
  </sheetViews>
  <sheetFormatPr defaultColWidth="10.77734375" defaultRowHeight="14.4" outlineLevelRow="1"/>
  <cols>
    <col min="1" max="1" width="10.77734375" style="9"/>
    <col min="2" max="2" width="21.44140625" style="9" bestFit="1" customWidth="1"/>
    <col min="3" max="3" width="15.77734375" style="9" bestFit="1" customWidth="1"/>
    <col min="4" max="4" width="18.6640625" style="9" customWidth="1"/>
    <col min="5" max="5" width="27.44140625" style="9" customWidth="1"/>
    <col min="6" max="16384" width="10.77734375" style="9"/>
  </cols>
  <sheetData>
    <row r="2" spans="1:9" ht="15.6">
      <c r="A2" s="127" t="s">
        <v>259</v>
      </c>
      <c r="B2" s="128" t="s">
        <v>292</v>
      </c>
      <c r="C2" s="127"/>
      <c r="D2" s="127"/>
      <c r="E2" s="129"/>
      <c r="F2" s="129"/>
      <c r="G2" s="129"/>
    </row>
    <row r="3" spans="1:9" outlineLevel="1">
      <c r="B3" s="58" t="s">
        <v>223</v>
      </c>
    </row>
    <row r="4" spans="1:9" outlineLevel="1">
      <c r="B4" s="42" t="s">
        <v>224</v>
      </c>
      <c r="C4" s="42" t="s">
        <v>225</v>
      </c>
      <c r="D4" s="42" t="s">
        <v>304</v>
      </c>
      <c r="E4" s="42" t="s">
        <v>222</v>
      </c>
    </row>
    <row r="5" spans="1:9" outlineLevel="1">
      <c r="B5" s="43"/>
      <c r="C5" s="44" t="s">
        <v>226</v>
      </c>
      <c r="D5" s="44" t="s">
        <v>9</v>
      </c>
      <c r="E5" s="44" t="s">
        <v>9</v>
      </c>
      <c r="G5" s="164"/>
      <c r="I5" s="9" t="s">
        <v>256</v>
      </c>
    </row>
    <row r="6" spans="1:9" outlineLevel="1">
      <c r="B6" s="41">
        <f>IP!B19</f>
        <v>2020</v>
      </c>
      <c r="C6" s="165" t="e">
        <f>Cal!F7</f>
        <v>#DIV/0!</v>
      </c>
      <c r="D6" s="165">
        <f>IF(IP!$D$100="Yes",C6-Cal!F32,0)</f>
        <v>0</v>
      </c>
      <c r="E6" s="165" t="e">
        <f t="shared" ref="E6:E15" si="0">C6-D6</f>
        <v>#DIV/0!</v>
      </c>
    </row>
    <row r="7" spans="1:9" outlineLevel="1">
      <c r="B7" s="41">
        <f>IP!B20</f>
        <v>2021</v>
      </c>
      <c r="C7" s="165" t="e">
        <f>Cal!G7</f>
        <v>#DIV/0!</v>
      </c>
      <c r="D7" s="165">
        <f>IF(IP!$D$100="Yes",C7-Cal!G32,0)</f>
        <v>0</v>
      </c>
      <c r="E7" s="165" t="e">
        <f t="shared" si="0"/>
        <v>#DIV/0!</v>
      </c>
    </row>
    <row r="8" spans="1:9" outlineLevel="1">
      <c r="B8" s="41">
        <f>IP!B21</f>
        <v>2022</v>
      </c>
      <c r="C8" s="165" t="e">
        <f>Cal!H7</f>
        <v>#DIV/0!</v>
      </c>
      <c r="D8" s="165">
        <f>IF(IP!$D$100="Yes",C8-Cal!H32,0)</f>
        <v>0</v>
      </c>
      <c r="E8" s="165" t="e">
        <f t="shared" si="0"/>
        <v>#DIV/0!</v>
      </c>
    </row>
    <row r="9" spans="1:9" outlineLevel="1">
      <c r="B9" s="41">
        <f>IP!B22</f>
        <v>2023</v>
      </c>
      <c r="C9" s="165" t="e">
        <f>Cal!I7</f>
        <v>#DIV/0!</v>
      </c>
      <c r="D9" s="165">
        <f>IF(IP!$D$100="Yes",C9-Cal!I32,0)</f>
        <v>0</v>
      </c>
      <c r="E9" s="165" t="e">
        <f t="shared" si="0"/>
        <v>#DIV/0!</v>
      </c>
    </row>
    <row r="10" spans="1:9" outlineLevel="1">
      <c r="B10" s="41">
        <f>IP!B23</f>
        <v>2024</v>
      </c>
      <c r="C10" s="165" t="e">
        <f>Cal!J7</f>
        <v>#DIV/0!</v>
      </c>
      <c r="D10" s="165">
        <f>IF(IP!$D$100="Yes",C10-Cal!J32,0)</f>
        <v>0</v>
      </c>
      <c r="E10" s="165" t="e">
        <f t="shared" si="0"/>
        <v>#DIV/0!</v>
      </c>
    </row>
    <row r="11" spans="1:9" outlineLevel="1">
      <c r="B11" s="41" t="str">
        <f>IP!B24</f>
        <v>N/A</v>
      </c>
      <c r="C11" s="165" t="e">
        <f>Cal!K7</f>
        <v>#DIV/0!</v>
      </c>
      <c r="D11" s="165">
        <f>IF(IP!$D$100="Yes",C11-Cal!K32,0)</f>
        <v>0</v>
      </c>
      <c r="E11" s="165" t="e">
        <f t="shared" si="0"/>
        <v>#DIV/0!</v>
      </c>
    </row>
    <row r="12" spans="1:9" outlineLevel="1">
      <c r="B12" s="41" t="str">
        <f>IP!B25</f>
        <v>N/A</v>
      </c>
      <c r="C12" s="165" t="e">
        <f>Cal!L7</f>
        <v>#DIV/0!</v>
      </c>
      <c r="D12" s="165">
        <f>IF(IP!$D$100="Yes",C12-Cal!L32,0)</f>
        <v>0</v>
      </c>
      <c r="E12" s="165" t="e">
        <f t="shared" si="0"/>
        <v>#DIV/0!</v>
      </c>
    </row>
    <row r="13" spans="1:9" outlineLevel="1">
      <c r="B13" s="41" t="str">
        <f>IP!B26</f>
        <v>N/A</v>
      </c>
      <c r="C13" s="165" t="e">
        <f>Cal!M7</f>
        <v>#DIV/0!</v>
      </c>
      <c r="D13" s="165">
        <f>IF(IP!$D$100="Yes",C13-Cal!M32,0)</f>
        <v>0</v>
      </c>
      <c r="E13" s="165" t="e">
        <f t="shared" si="0"/>
        <v>#DIV/0!</v>
      </c>
    </row>
    <row r="14" spans="1:9" outlineLevel="1">
      <c r="B14" s="41" t="str">
        <f>IP!B27</f>
        <v>N/A</v>
      </c>
      <c r="C14" s="165" t="e">
        <f>Cal!N7</f>
        <v>#DIV/0!</v>
      </c>
      <c r="D14" s="165">
        <f>IF(IP!$D$100="Yes",C14-Cal!N32,0)</f>
        <v>0</v>
      </c>
      <c r="E14" s="165" t="e">
        <f t="shared" si="0"/>
        <v>#DIV/0!</v>
      </c>
    </row>
    <row r="15" spans="1:9" outlineLevel="1">
      <c r="B15" s="41" t="str">
        <f>IP!B28</f>
        <v>N/A</v>
      </c>
      <c r="C15" s="165" t="e">
        <f>Cal!O7</f>
        <v>#DIV/0!</v>
      </c>
      <c r="D15" s="165">
        <f>IF(IP!$D$100="Yes",C15-Cal!O32,0)</f>
        <v>0</v>
      </c>
      <c r="E15" s="165" t="e">
        <f t="shared" si="0"/>
        <v>#DIV/0!</v>
      </c>
    </row>
    <row r="16" spans="1:9" outlineLevel="1">
      <c r="B16" s="17"/>
      <c r="C16" s="17"/>
      <c r="D16" s="17"/>
    </row>
    <row r="17" spans="1:9" outlineLevel="1">
      <c r="B17" s="44" t="s">
        <v>227</v>
      </c>
      <c r="C17" s="55"/>
      <c r="D17" s="44"/>
      <c r="E17" s="45" t="e">
        <f>SUM(E6:E15)</f>
        <v>#DIV/0!</v>
      </c>
    </row>
    <row r="18" spans="1:9" outlineLevel="1">
      <c r="B18" s="46" t="s">
        <v>228</v>
      </c>
      <c r="C18" s="55"/>
      <c r="D18" s="46"/>
      <c r="E18" s="47" t="e">
        <f>E17/IP!D10</f>
        <v>#DIV/0!</v>
      </c>
    </row>
    <row r="19" spans="1:9" outlineLevel="1">
      <c r="B19" s="133"/>
      <c r="C19" s="55"/>
      <c r="D19" s="133"/>
      <c r="E19" s="134"/>
    </row>
    <row r="20" spans="1:9" ht="18" outlineLevel="1">
      <c r="B20" s="137" t="s">
        <v>303</v>
      </c>
      <c r="C20" s="136"/>
      <c r="D20" s="136"/>
      <c r="E20" s="135"/>
    </row>
    <row r="21" spans="1:9" ht="18" outlineLevel="1">
      <c r="B21" s="137" t="s">
        <v>154</v>
      </c>
      <c r="C21" s="136"/>
      <c r="D21" s="136"/>
      <c r="E21" s="135"/>
    </row>
    <row r="24" spans="1:9" ht="15.6">
      <c r="A24" s="127" t="s">
        <v>171</v>
      </c>
      <c r="B24" s="128" t="s">
        <v>219</v>
      </c>
      <c r="C24" s="129"/>
      <c r="D24" s="129"/>
      <c r="E24" s="129"/>
      <c r="F24" s="129"/>
    </row>
    <row r="25" spans="1:9" outlineLevel="1">
      <c r="B25" s="58" t="s">
        <v>223</v>
      </c>
    </row>
    <row r="26" spans="1:9" outlineLevel="1">
      <c r="B26" s="42" t="s">
        <v>224</v>
      </c>
      <c r="C26" s="42" t="s">
        <v>225</v>
      </c>
      <c r="D26" s="42" t="s">
        <v>304</v>
      </c>
      <c r="E26" s="42" t="s">
        <v>222</v>
      </c>
    </row>
    <row r="27" spans="1:9" outlineLevel="1">
      <c r="B27" s="43"/>
      <c r="C27" s="44" t="s">
        <v>226</v>
      </c>
      <c r="D27" s="44" t="s">
        <v>39</v>
      </c>
      <c r="E27" s="44" t="s">
        <v>39</v>
      </c>
      <c r="G27" s="164"/>
      <c r="I27" s="9" t="s">
        <v>256</v>
      </c>
    </row>
    <row r="28" spans="1:9" outlineLevel="1">
      <c r="B28" s="41">
        <f>IP!B155</f>
        <v>2012</v>
      </c>
      <c r="C28" s="165">
        <f>IF(IP!$D$111="No",(IF(Cal!F41=0,0,Cal!F40)),Cal!F39)</f>
        <v>0</v>
      </c>
      <c r="D28" s="163">
        <f>IF(IP!$D$209="Yes",#REF!-Cal!F66,0)</f>
        <v>0</v>
      </c>
      <c r="E28" s="163">
        <f>C28-D28</f>
        <v>0</v>
      </c>
    </row>
    <row r="29" spans="1:9" outlineLevel="1">
      <c r="B29" s="41">
        <f>IP!B156</f>
        <v>2013</v>
      </c>
      <c r="C29" s="165">
        <f>IF(IP!$D$111="No",(IF(Cal!G41=0,0,Cal!G40)),Cal!G39)</f>
        <v>0</v>
      </c>
      <c r="D29" s="163">
        <f>IF(IP!$D$209="Yes",#REF!-Cal!G66,0)</f>
        <v>0</v>
      </c>
      <c r="E29" s="165">
        <f t="shared" ref="E29:E37" si="1">C29-D29</f>
        <v>0</v>
      </c>
    </row>
    <row r="30" spans="1:9" outlineLevel="1">
      <c r="B30" s="41">
        <f>IP!B157</f>
        <v>2014</v>
      </c>
      <c r="C30" s="165">
        <f>IF(IP!$D$111="No",(IF(Cal!H41=0,0,Cal!H40)),Cal!H39)</f>
        <v>0</v>
      </c>
      <c r="D30" s="163">
        <f>IF(IP!$D$209="Yes",#REF!-Cal!H66,0)</f>
        <v>0</v>
      </c>
      <c r="E30" s="165">
        <f t="shared" si="1"/>
        <v>0</v>
      </c>
    </row>
    <row r="31" spans="1:9" outlineLevel="1">
      <c r="B31" s="41">
        <f>IP!B158</f>
        <v>2015</v>
      </c>
      <c r="C31" s="165">
        <f>IF(IP!$D$111="No",(IF(Cal!I41=0,0,Cal!I40)),Cal!I39)</f>
        <v>0</v>
      </c>
      <c r="D31" s="163">
        <f>IF(IP!$D$209="Yes",#REF!-Cal!I66,0)</f>
        <v>0</v>
      </c>
      <c r="E31" s="165">
        <f t="shared" si="1"/>
        <v>0</v>
      </c>
    </row>
    <row r="32" spans="1:9" outlineLevel="1">
      <c r="B32" s="41">
        <f>IP!B159</f>
        <v>2016</v>
      </c>
      <c r="C32" s="165">
        <f>IF(IP!$D$111="No",(IF(Cal!J41=0,0,Cal!J40)),Cal!J39)</f>
        <v>0</v>
      </c>
      <c r="D32" s="163">
        <f>IF(IP!$D$209="Yes",#REF!-Cal!J66,0)</f>
        <v>0</v>
      </c>
      <c r="E32" s="165">
        <f t="shared" si="1"/>
        <v>0</v>
      </c>
    </row>
    <row r="33" spans="2:5" outlineLevel="1">
      <c r="B33" s="41">
        <f>IP!B160</f>
        <v>2017</v>
      </c>
      <c r="C33" s="165">
        <f>IF(IP!$D$111="No",(IF(Cal!K41=0,0,Cal!K40)),Cal!K39)</f>
        <v>0</v>
      </c>
      <c r="D33" s="163">
        <f>IF(IP!$D$209="Yes",#REF!-Cal!K66,0)</f>
        <v>0</v>
      </c>
      <c r="E33" s="165">
        <f t="shared" si="1"/>
        <v>0</v>
      </c>
    </row>
    <row r="34" spans="2:5" outlineLevel="1">
      <c r="B34" s="41">
        <f>IP!B161</f>
        <v>2018</v>
      </c>
      <c r="C34" s="165">
        <f>IF(IP!$D$111="No",(IF(Cal!L41=0,0,Cal!L40)),Cal!L39)</f>
        <v>0</v>
      </c>
      <c r="D34" s="163">
        <f>IF(IP!$D$209="Yes",#REF!-Cal!L66,0)</f>
        <v>0</v>
      </c>
      <c r="E34" s="165">
        <f t="shared" si="1"/>
        <v>0</v>
      </c>
    </row>
    <row r="35" spans="2:5" outlineLevel="1">
      <c r="B35" s="41">
        <f>IP!B162</f>
        <v>2019</v>
      </c>
      <c r="C35" s="165">
        <f>IF(IP!$D$111="No",(IF(Cal!M41=0,0,Cal!M40)),Cal!M39)</f>
        <v>0</v>
      </c>
      <c r="D35" s="163">
        <f>IF(IP!$D$209="Yes",#REF!-Cal!M66,0)</f>
        <v>0</v>
      </c>
      <c r="E35" s="165">
        <f t="shared" si="1"/>
        <v>0</v>
      </c>
    </row>
    <row r="36" spans="2:5" outlineLevel="1">
      <c r="B36" s="41">
        <f>IP!B163</f>
        <v>2020</v>
      </c>
      <c r="C36" s="165">
        <f>IF(IP!$D$111="No",(IF(Cal!N41=0,0,Cal!N40)),Cal!N39)</f>
        <v>0</v>
      </c>
      <c r="D36" s="163">
        <f>IF(IP!$D$209="Yes",#REF!-Cal!N66,0)</f>
        <v>0</v>
      </c>
      <c r="E36" s="165">
        <f t="shared" si="1"/>
        <v>0</v>
      </c>
    </row>
    <row r="37" spans="2:5" outlineLevel="1">
      <c r="B37" s="41">
        <f>IP!B164</f>
        <v>2021</v>
      </c>
      <c r="C37" s="165">
        <f>IF(IP!$D$111="No",(IF(Cal!O41=0,0,Cal!O40)),Cal!O39)</f>
        <v>0</v>
      </c>
      <c r="D37" s="163">
        <f>IF(IP!$D$209="Yes",#REF!-Cal!O66,0)</f>
        <v>0</v>
      </c>
      <c r="E37" s="165">
        <f t="shared" si="1"/>
        <v>0</v>
      </c>
    </row>
    <row r="38" spans="2:5" outlineLevel="1">
      <c r="B38" s="17"/>
      <c r="C38" s="17"/>
      <c r="D38" s="17"/>
    </row>
    <row r="39" spans="2:5" outlineLevel="1">
      <c r="B39" s="44" t="s">
        <v>227</v>
      </c>
      <c r="C39" s="55"/>
      <c r="D39" s="44"/>
      <c r="E39" s="45">
        <f>SUM(E28:E37)</f>
        <v>0</v>
      </c>
    </row>
    <row r="40" spans="2:5" outlineLevel="1">
      <c r="B40" s="46" t="s">
        <v>228</v>
      </c>
      <c r="C40" s="55"/>
      <c r="D40" s="46"/>
      <c r="E40" s="47">
        <f>E39/IP!D114</f>
        <v>0</v>
      </c>
    </row>
    <row r="41" spans="2:5" outlineLevel="1">
      <c r="B41" s="137" t="s">
        <v>303</v>
      </c>
      <c r="C41" s="135"/>
      <c r="D41" s="135"/>
      <c r="E41" s="135"/>
    </row>
    <row r="42" spans="2:5" outlineLevel="1">
      <c r="B42" s="137" t="s">
        <v>154</v>
      </c>
      <c r="C42" s="135"/>
      <c r="D42" s="135"/>
      <c r="E42" s="135"/>
    </row>
  </sheetData>
  <sheetProtection algorithmName="SHA-512" hashValue="dnuyO9dat7Bc2nierfz9duD0Kcoc9rvqHPMatlxQNLGxhqOpsT08UDF0SH9ctB7HCYmBwIQ3iXlor/Pbdcf8gg==" saltValue="rrfcf37+kk/7qlZ3wuCxDw==" spinCount="100000" sheet="1" objects="1" scenarios="1"/>
  <phoneticPr fontId="22" type="noConversion"/>
  <conditionalFormatting sqref="E6:E15 E28:E37">
    <cfRule type="cellIs" dxfId="0" priority="0" stopIfTrue="1" operator="greaterThan">
      <formula>10000</formula>
    </cfRule>
  </conditionalFormatting>
  <hyperlinks>
    <hyperlink ref="B20" location="IP!A1" display="Go Back to &quot;IP worrksheet&quot; to make chages in input value. " xr:uid="{00000000-0004-0000-0300-000000000000}"/>
    <hyperlink ref="B21" location="Start!A1" display="Go back to &quot;Start&quot; worksheet." xr:uid="{00000000-0004-0000-0300-000001000000}"/>
    <hyperlink ref="B41" location="IP!A1" display="Go Back to &quot;IP worrksheet&quot; to make chages in input value. " xr:uid="{00000000-0004-0000-0300-000002000000}"/>
    <hyperlink ref="B42" location="Start!A1" display="Go back to &quot;Start&quot; worksheet." xr:uid="{00000000-0004-0000-0300-000003000000}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M105"/>
  <sheetViews>
    <sheetView topLeftCell="A2" workbookViewId="0">
      <selection activeCell="H26" sqref="H26"/>
    </sheetView>
  </sheetViews>
  <sheetFormatPr defaultColWidth="10.77734375" defaultRowHeight="14.4"/>
  <cols>
    <col min="1" max="1" width="10.77734375" style="9"/>
    <col min="2" max="2" width="6.77734375" style="9" customWidth="1"/>
    <col min="3" max="3" width="21.77734375" style="9" customWidth="1"/>
    <col min="4" max="16384" width="10.77734375" style="9"/>
  </cols>
  <sheetData>
    <row r="2" spans="1:11">
      <c r="A2" s="17" t="s">
        <v>18</v>
      </c>
      <c r="B2" s="17"/>
      <c r="C2" s="17"/>
      <c r="D2" s="17"/>
      <c r="E2" s="17"/>
      <c r="F2" s="50"/>
      <c r="G2" s="17"/>
      <c r="H2" s="17"/>
      <c r="I2" s="17"/>
      <c r="J2" s="17"/>
      <c r="K2" s="60"/>
    </row>
    <row r="3" spans="1:11">
      <c r="A3" s="17"/>
      <c r="B3" s="17"/>
      <c r="C3" s="17" t="s">
        <v>229</v>
      </c>
      <c r="D3" s="51">
        <f>D7*D8</f>
        <v>1.7471999999999999</v>
      </c>
      <c r="E3" s="17" t="s">
        <v>93</v>
      </c>
      <c r="F3" s="17"/>
      <c r="G3" s="17"/>
      <c r="H3" s="17"/>
      <c r="I3" s="17"/>
      <c r="J3" s="59"/>
    </row>
    <row r="4" spans="1:11">
      <c r="A4" s="17"/>
      <c r="B4" s="17"/>
      <c r="C4" s="17" t="s">
        <v>44</v>
      </c>
      <c r="D4" s="51">
        <f>(D9*D11*D7/1000)+(D12*D14*D7/1000)</f>
        <v>0.45538739999999994</v>
      </c>
      <c r="E4" s="17" t="s">
        <v>93</v>
      </c>
      <c r="F4" s="17">
        <v>2012</v>
      </c>
      <c r="G4" s="17" t="s">
        <v>230</v>
      </c>
      <c r="H4" s="17"/>
      <c r="I4" s="17"/>
      <c r="J4" s="17"/>
    </row>
    <row r="5" spans="1:11">
      <c r="A5" s="17"/>
      <c r="B5" s="17"/>
      <c r="C5" s="17"/>
      <c r="D5" s="51">
        <f>(D10*D11*D7/1000)+(D13*D14*D7/1000)</f>
        <v>0.52965899999999999</v>
      </c>
      <c r="E5" s="17" t="s">
        <v>93</v>
      </c>
      <c r="F5" s="17">
        <v>2013</v>
      </c>
      <c r="G5" s="17" t="s">
        <v>100</v>
      </c>
      <c r="H5" s="17"/>
      <c r="I5" s="17"/>
      <c r="J5" s="17"/>
    </row>
    <row r="6" spans="1:11">
      <c r="A6" s="17"/>
      <c r="B6" s="17"/>
      <c r="C6" s="17"/>
      <c r="D6" s="41"/>
      <c r="E6" s="17"/>
      <c r="F6" s="17"/>
      <c r="G6" s="17"/>
      <c r="H6" s="17"/>
      <c r="I6" s="17"/>
      <c r="J6" s="17"/>
    </row>
    <row r="7" spans="1:11">
      <c r="A7" s="17"/>
      <c r="B7" s="17"/>
      <c r="C7" s="41" t="s">
        <v>13</v>
      </c>
      <c r="D7" s="41">
        <v>1.5599999999999999E-2</v>
      </c>
      <c r="E7" s="41" t="s">
        <v>14</v>
      </c>
      <c r="F7" s="52" t="s">
        <v>151</v>
      </c>
      <c r="G7" s="17"/>
      <c r="H7" s="17"/>
      <c r="I7" s="17"/>
      <c r="J7" s="17"/>
    </row>
    <row r="8" spans="1:11">
      <c r="A8" s="17"/>
      <c r="B8" s="17"/>
      <c r="C8" s="17" t="s">
        <v>159</v>
      </c>
      <c r="D8" s="41">
        <v>112</v>
      </c>
      <c r="E8" s="41" t="s">
        <v>158</v>
      </c>
      <c r="F8" s="52" t="s">
        <v>150</v>
      </c>
      <c r="G8" s="17"/>
      <c r="H8" s="17"/>
      <c r="I8" s="17"/>
      <c r="J8" s="17"/>
    </row>
    <row r="9" spans="1:11">
      <c r="A9" s="17"/>
      <c r="B9" s="17"/>
      <c r="C9" s="17" t="s">
        <v>156</v>
      </c>
      <c r="D9" s="41">
        <v>21</v>
      </c>
      <c r="E9" s="17"/>
      <c r="F9" s="53" t="s">
        <v>160</v>
      </c>
      <c r="G9" s="17"/>
      <c r="H9" s="17"/>
      <c r="I9" s="17"/>
      <c r="J9" s="17"/>
    </row>
    <row r="10" spans="1:11">
      <c r="A10" s="17"/>
      <c r="B10" s="17"/>
      <c r="C10" s="17" t="s">
        <v>32</v>
      </c>
      <c r="D10" s="41">
        <v>25</v>
      </c>
      <c r="E10" s="17"/>
      <c r="F10" s="53" t="s">
        <v>160</v>
      </c>
      <c r="G10" s="17"/>
      <c r="H10" s="17"/>
      <c r="I10" s="17"/>
      <c r="J10" s="17"/>
    </row>
    <row r="11" spans="1:11">
      <c r="A11" s="17"/>
      <c r="B11" s="17"/>
      <c r="C11" s="17" t="s">
        <v>112</v>
      </c>
      <c r="D11" s="41">
        <v>1224</v>
      </c>
      <c r="E11" s="54"/>
      <c r="F11" s="17" t="s">
        <v>157</v>
      </c>
      <c r="G11" s="17"/>
      <c r="H11" s="17"/>
      <c r="I11" s="17"/>
      <c r="J11" s="17"/>
    </row>
    <row r="12" spans="1:11">
      <c r="A12" s="17"/>
      <c r="B12" s="17"/>
      <c r="C12" s="17" t="s">
        <v>24</v>
      </c>
      <c r="D12" s="41">
        <v>310</v>
      </c>
      <c r="E12" s="17"/>
      <c r="F12" s="53" t="s">
        <v>160</v>
      </c>
      <c r="G12" s="17"/>
      <c r="H12" s="17"/>
      <c r="I12" s="17"/>
      <c r="J12" s="17"/>
    </row>
    <row r="13" spans="1:11">
      <c r="A13" s="17"/>
      <c r="B13" s="17"/>
      <c r="C13" s="17" t="s">
        <v>155</v>
      </c>
      <c r="D13" s="41">
        <v>298</v>
      </c>
      <c r="E13" s="17"/>
      <c r="F13" s="53" t="s">
        <v>160</v>
      </c>
      <c r="G13" s="17"/>
      <c r="H13" s="17"/>
      <c r="I13" s="17"/>
      <c r="J13" s="17"/>
    </row>
    <row r="14" spans="1:11">
      <c r="A14" s="17"/>
      <c r="B14" s="17"/>
      <c r="C14" s="17" t="s">
        <v>113</v>
      </c>
      <c r="D14" s="41">
        <v>11.25</v>
      </c>
      <c r="E14" s="54"/>
      <c r="F14" s="17" t="s">
        <v>157</v>
      </c>
      <c r="G14" s="17"/>
      <c r="H14" s="17"/>
      <c r="I14" s="17"/>
      <c r="J14" s="17"/>
    </row>
    <row r="16" spans="1:11">
      <c r="A16" s="17" t="s">
        <v>152</v>
      </c>
      <c r="B16" s="17"/>
      <c r="C16" s="17"/>
      <c r="D16" s="17" t="s">
        <v>21</v>
      </c>
      <c r="E16" s="17"/>
      <c r="F16" s="17"/>
      <c r="G16" s="17"/>
      <c r="H16" s="17"/>
      <c r="I16" s="17"/>
      <c r="J16" s="17"/>
    </row>
    <row r="17" spans="1:10">
      <c r="A17" s="17"/>
      <c r="B17" s="17"/>
      <c r="C17" s="17" t="s">
        <v>19</v>
      </c>
      <c r="D17" s="41">
        <v>5</v>
      </c>
      <c r="E17" s="17"/>
      <c r="F17" s="17"/>
      <c r="G17" s="17"/>
      <c r="H17" s="17"/>
      <c r="I17" s="17"/>
      <c r="J17" s="17"/>
    </row>
    <row r="18" spans="1:10">
      <c r="A18" s="17"/>
      <c r="B18" s="17"/>
      <c r="C18" s="17" t="s">
        <v>20</v>
      </c>
      <c r="D18" s="41">
        <v>10</v>
      </c>
      <c r="E18" s="17"/>
      <c r="F18" s="17"/>
      <c r="G18" s="17"/>
      <c r="H18" s="17"/>
      <c r="I18" s="17"/>
      <c r="J18" s="17"/>
    </row>
    <row r="20" spans="1:10">
      <c r="A20" s="17" t="s">
        <v>118</v>
      </c>
      <c r="B20" s="17"/>
      <c r="C20" s="17"/>
      <c r="D20" s="17" t="s">
        <v>117</v>
      </c>
      <c r="E20" s="17"/>
      <c r="F20" s="17"/>
      <c r="G20" s="17"/>
      <c r="H20" s="17"/>
      <c r="I20" s="17"/>
      <c r="J20" s="17"/>
    </row>
    <row r="21" spans="1:10">
      <c r="A21" s="17"/>
      <c r="B21" s="17"/>
      <c r="C21" s="17"/>
      <c r="D21" s="41">
        <v>1</v>
      </c>
      <c r="E21" s="17"/>
      <c r="F21" s="17"/>
      <c r="G21" s="17"/>
      <c r="H21" s="17"/>
      <c r="I21" s="17"/>
      <c r="J21" s="17"/>
    </row>
    <row r="22" spans="1:10">
      <c r="A22" s="17"/>
      <c r="B22" s="17"/>
      <c r="C22" s="17"/>
      <c r="D22" s="41">
        <v>2</v>
      </c>
      <c r="E22" s="17"/>
      <c r="F22" s="17"/>
      <c r="G22" s="17"/>
      <c r="H22" s="17"/>
      <c r="I22" s="17"/>
      <c r="J22" s="17"/>
    </row>
    <row r="23" spans="1:10">
      <c r="A23" s="17"/>
      <c r="B23" s="17"/>
      <c r="C23" s="17"/>
      <c r="D23" s="41">
        <v>3</v>
      </c>
      <c r="E23" s="17"/>
      <c r="F23" s="17"/>
      <c r="G23" s="17"/>
      <c r="H23" s="17"/>
      <c r="I23" s="17"/>
      <c r="J23" s="17"/>
    </row>
    <row r="24" spans="1:10">
      <c r="A24" s="17"/>
      <c r="B24" s="17"/>
      <c r="C24" s="17"/>
      <c r="D24" s="41">
        <v>4</v>
      </c>
      <c r="E24" s="17"/>
      <c r="F24" s="17"/>
      <c r="G24" s="17"/>
      <c r="H24" s="17"/>
      <c r="I24" s="17"/>
      <c r="J24" s="17"/>
    </row>
    <row r="25" spans="1:10">
      <c r="A25" s="17"/>
      <c r="B25" s="17"/>
      <c r="C25" s="17"/>
      <c r="D25" s="41">
        <v>5</v>
      </c>
      <c r="E25" s="17"/>
      <c r="F25" s="17"/>
      <c r="G25" s="17"/>
      <c r="H25" s="17"/>
      <c r="I25" s="17"/>
      <c r="J25" s="17"/>
    </row>
    <row r="26" spans="1:10">
      <c r="A26" s="17"/>
      <c r="B26" s="17"/>
      <c r="C26" s="17"/>
      <c r="D26" s="41"/>
      <c r="E26" s="17"/>
      <c r="F26" s="17"/>
      <c r="G26" s="17"/>
      <c r="H26" s="17"/>
      <c r="I26" s="17"/>
      <c r="J26" s="17"/>
    </row>
    <row r="27" spans="1:10">
      <c r="A27" s="17"/>
      <c r="B27" s="17"/>
      <c r="C27" s="17"/>
      <c r="D27" s="41"/>
      <c r="E27" s="17"/>
      <c r="F27" s="17"/>
      <c r="G27" s="17"/>
      <c r="H27" s="17"/>
      <c r="I27" s="17"/>
      <c r="J27" s="17"/>
    </row>
    <row r="28" spans="1:10">
      <c r="A28" s="17"/>
      <c r="B28" s="17"/>
      <c r="C28" s="17"/>
      <c r="D28" s="41"/>
      <c r="E28" s="17"/>
      <c r="F28" s="17"/>
      <c r="G28" s="17"/>
      <c r="H28" s="17"/>
      <c r="I28" s="17"/>
      <c r="J28" s="17"/>
    </row>
    <row r="29" spans="1:10">
      <c r="A29" s="17"/>
      <c r="B29" s="17"/>
      <c r="C29" s="17"/>
      <c r="D29" s="41"/>
      <c r="E29" s="17"/>
      <c r="F29" s="17"/>
      <c r="G29" s="17"/>
      <c r="H29" s="17"/>
      <c r="I29" s="17"/>
      <c r="J29" s="17"/>
    </row>
    <row r="30" spans="1:10">
      <c r="A30" s="17"/>
      <c r="B30" s="17"/>
      <c r="C30" s="17"/>
      <c r="D30" s="41"/>
      <c r="E30" s="17"/>
      <c r="F30" s="17"/>
      <c r="G30" s="17"/>
      <c r="H30" s="17"/>
      <c r="I30" s="17"/>
      <c r="J30" s="17"/>
    </row>
    <row r="32" spans="1:10">
      <c r="A32" s="17" t="s">
        <v>31</v>
      </c>
      <c r="B32" s="17"/>
      <c r="C32" s="17"/>
      <c r="D32" s="17" t="s">
        <v>40</v>
      </c>
      <c r="E32" s="17"/>
      <c r="F32" s="17"/>
      <c r="G32" s="17"/>
      <c r="H32" s="17"/>
      <c r="I32" s="17"/>
      <c r="J32" s="17"/>
    </row>
    <row r="33" spans="1:11">
      <c r="A33" s="17"/>
      <c r="B33" s="17"/>
      <c r="C33" s="17"/>
      <c r="D33" s="17" t="s">
        <v>214</v>
      </c>
      <c r="E33" s="17"/>
      <c r="F33" s="17"/>
      <c r="G33" s="17"/>
      <c r="H33" s="17"/>
      <c r="I33" s="17"/>
      <c r="J33" s="17"/>
    </row>
    <row r="35" spans="1:11">
      <c r="A35" s="17" t="s">
        <v>189</v>
      </c>
      <c r="B35" s="17"/>
      <c r="C35" s="17"/>
      <c r="D35" s="48">
        <v>0.1</v>
      </c>
      <c r="E35" s="17"/>
      <c r="F35" s="17"/>
      <c r="G35" s="17"/>
      <c r="H35" s="17"/>
      <c r="I35" s="17"/>
      <c r="J35" s="17"/>
    </row>
    <row r="38" spans="1:11">
      <c r="A38" s="17" t="s">
        <v>191</v>
      </c>
      <c r="B38" s="17"/>
      <c r="C38" s="17"/>
      <c r="D38" s="17" t="s">
        <v>193</v>
      </c>
      <c r="E38" s="17"/>
      <c r="F38" s="17"/>
      <c r="G38" s="17"/>
      <c r="H38" s="17"/>
      <c r="I38" s="17"/>
      <c r="J38" s="17"/>
    </row>
    <row r="39" spans="1:11">
      <c r="A39" s="17"/>
      <c r="B39" s="17"/>
      <c r="C39" s="17"/>
      <c r="D39" s="17"/>
      <c r="E39" s="17"/>
      <c r="F39" s="17"/>
      <c r="G39" s="17"/>
      <c r="H39" s="17"/>
      <c r="I39" s="17"/>
      <c r="J39" s="17"/>
    </row>
    <row r="40" spans="1:11">
      <c r="A40" s="17" t="s">
        <v>114</v>
      </c>
      <c r="B40" s="17"/>
      <c r="C40" s="17"/>
      <c r="D40" s="17" t="s">
        <v>115</v>
      </c>
      <c r="E40" s="17"/>
      <c r="F40" s="17"/>
      <c r="G40" s="17"/>
      <c r="H40" s="17"/>
      <c r="I40" s="17"/>
      <c r="J40" s="17"/>
      <c r="K40" s="19"/>
    </row>
    <row r="41" spans="1:11">
      <c r="A41" s="17"/>
      <c r="B41" s="17"/>
      <c r="C41" s="17"/>
      <c r="D41" s="17" t="s">
        <v>116</v>
      </c>
      <c r="E41" s="17"/>
      <c r="F41" s="17"/>
      <c r="G41" s="17"/>
      <c r="H41" s="17"/>
      <c r="I41" s="17"/>
      <c r="J41" s="17"/>
      <c r="K41" s="19"/>
    </row>
    <row r="42" spans="1:1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9"/>
    </row>
    <row r="43" spans="1:11">
      <c r="A43" s="17" t="s">
        <v>95</v>
      </c>
      <c r="B43" s="17"/>
      <c r="C43" s="17"/>
      <c r="D43" s="17"/>
      <c r="E43" s="17"/>
      <c r="F43" s="17"/>
      <c r="G43" s="17"/>
      <c r="H43" s="17"/>
      <c r="I43" s="17"/>
      <c r="J43" s="17"/>
      <c r="K43" s="19"/>
    </row>
    <row r="44" spans="1:11">
      <c r="A44" s="17"/>
      <c r="B44" s="17"/>
      <c r="C44" s="17"/>
      <c r="D44" s="13" t="s">
        <v>96</v>
      </c>
      <c r="E44" s="17"/>
      <c r="F44" s="17"/>
      <c r="G44" s="17"/>
      <c r="H44" s="17"/>
      <c r="I44" s="17"/>
      <c r="J44" s="17"/>
      <c r="K44" s="19"/>
    </row>
    <row r="45" spans="1:11">
      <c r="A45" s="17"/>
      <c r="B45" s="17"/>
      <c r="C45" s="17"/>
      <c r="D45" s="13" t="s">
        <v>232</v>
      </c>
      <c r="E45" s="17"/>
      <c r="F45" s="17"/>
      <c r="G45" s="17"/>
      <c r="H45" s="17"/>
      <c r="I45" s="17"/>
      <c r="J45" s="17"/>
      <c r="K45" s="19"/>
    </row>
    <row r="46" spans="1:11">
      <c r="A46" s="17"/>
      <c r="B46" s="17"/>
      <c r="C46" s="17"/>
      <c r="D46" s="13" t="s">
        <v>58</v>
      </c>
      <c r="E46" s="17"/>
      <c r="F46" s="17"/>
      <c r="G46" s="17"/>
      <c r="H46" s="17"/>
      <c r="I46" s="17"/>
      <c r="J46" s="17"/>
      <c r="K46" s="19"/>
    </row>
    <row r="47" spans="1:11">
      <c r="A47" s="17"/>
      <c r="B47" s="17"/>
      <c r="C47" s="17"/>
      <c r="D47" s="15" t="s">
        <v>59</v>
      </c>
      <c r="E47" s="17"/>
      <c r="F47" s="17"/>
      <c r="G47" s="17"/>
      <c r="H47" s="17"/>
      <c r="I47" s="17"/>
      <c r="J47" s="17"/>
      <c r="K47" s="19"/>
    </row>
    <row r="48" spans="1:11">
      <c r="A48" s="9" t="s">
        <v>43</v>
      </c>
      <c r="D48" s="9" t="s">
        <v>69</v>
      </c>
    </row>
    <row r="49" spans="1:13">
      <c r="D49" s="9" t="s">
        <v>3</v>
      </c>
    </row>
    <row r="50" spans="1:13">
      <c r="A50" s="17" t="s">
        <v>101</v>
      </c>
      <c r="B50" s="17"/>
      <c r="C50" s="17"/>
      <c r="D50" s="17" t="s">
        <v>102</v>
      </c>
      <c r="E50" s="17"/>
      <c r="F50" s="17"/>
      <c r="G50" s="17"/>
      <c r="H50" s="17"/>
      <c r="I50" s="17"/>
      <c r="J50" s="17"/>
    </row>
    <row r="51" spans="1:13">
      <c r="A51" s="17"/>
      <c r="B51" s="17"/>
      <c r="C51" s="17"/>
      <c r="D51" s="17" t="s">
        <v>83</v>
      </c>
      <c r="E51" s="17"/>
      <c r="F51" s="17"/>
      <c r="G51" s="17"/>
      <c r="H51" s="17"/>
      <c r="I51" s="17"/>
      <c r="J51" s="17"/>
    </row>
    <row r="53" spans="1:13">
      <c r="A53" s="9" t="s">
        <v>247</v>
      </c>
      <c r="D53" s="9" t="s">
        <v>248</v>
      </c>
    </row>
    <row r="54" spans="1:13">
      <c r="D54" s="9" t="s">
        <v>250</v>
      </c>
      <c r="E54" s="138"/>
    </row>
    <row r="58" spans="1:13" hidden="1"/>
    <row r="59" spans="1:13" hidden="1">
      <c r="A59" s="9" t="s">
        <v>270</v>
      </c>
    </row>
    <row r="60" spans="1:13" hidden="1">
      <c r="B60" s="9" t="s">
        <v>272</v>
      </c>
    </row>
    <row r="61" spans="1:13" hidden="1">
      <c r="A61" s="9" t="s">
        <v>271</v>
      </c>
    </row>
    <row r="62" spans="1:13" hidden="1">
      <c r="E62" s="168">
        <v>0</v>
      </c>
      <c r="F62" s="168">
        <v>0</v>
      </c>
      <c r="G62" s="168">
        <v>0</v>
      </c>
      <c r="H62" s="168">
        <v>0</v>
      </c>
      <c r="I62" s="168">
        <v>0</v>
      </c>
      <c r="J62" s="168">
        <v>0</v>
      </c>
      <c r="K62" s="168">
        <v>0</v>
      </c>
      <c r="L62" s="168">
        <v>0</v>
      </c>
      <c r="M62" s="168">
        <v>0</v>
      </c>
    </row>
    <row r="63" spans="1:13" hidden="1"/>
    <row r="64" spans="1:13" hidden="1"/>
    <row r="65" spans="1:13" hidden="1"/>
    <row r="66" spans="1:13" hidden="1"/>
    <row r="67" spans="1:13" hidden="1"/>
    <row r="68" spans="1:13" hidden="1"/>
    <row r="69" spans="1:13" hidden="1"/>
    <row r="70" spans="1:13" hidden="1">
      <c r="A70" s="9" t="s">
        <v>287</v>
      </c>
    </row>
    <row r="71" spans="1:13" hidden="1">
      <c r="D71" s="168"/>
    </row>
    <row r="72" spans="1:13" hidden="1">
      <c r="A72" s="171" t="s">
        <v>283</v>
      </c>
      <c r="B72" s="171"/>
      <c r="C72" s="171" t="s">
        <v>284</v>
      </c>
      <c r="D72" s="172">
        <f>IP!B48</f>
        <v>2020</v>
      </c>
      <c r="E72" s="172">
        <f>IP!B49</f>
        <v>2021</v>
      </c>
      <c r="F72" s="172">
        <f>IP!B50</f>
        <v>2022</v>
      </c>
      <c r="G72" s="172">
        <f>IP!B51</f>
        <v>2023</v>
      </c>
      <c r="H72" s="172">
        <f>IP!B52</f>
        <v>2024</v>
      </c>
      <c r="I72" s="172" t="str">
        <f>IP!B53</f>
        <v>N/A</v>
      </c>
      <c r="J72" s="172" t="str">
        <f>IP!B54</f>
        <v>N/A</v>
      </c>
      <c r="K72" s="172" t="str">
        <f>IP!B55</f>
        <v>N/A</v>
      </c>
      <c r="L72" s="172" t="str">
        <f>IP!B56</f>
        <v>N/A</v>
      </c>
      <c r="M72" s="172" t="str">
        <f>IP!B57</f>
        <v>N/A</v>
      </c>
    </row>
    <row r="73" spans="1:13" hidden="1">
      <c r="A73" s="172" t="s">
        <v>273</v>
      </c>
      <c r="B73" s="171"/>
      <c r="C73" s="173">
        <f>IP!D61</f>
        <v>1</v>
      </c>
      <c r="D73" s="174">
        <f>IP!D19*$C$73</f>
        <v>0</v>
      </c>
      <c r="E73" s="172">
        <f>IP!D20*$C$73</f>
        <v>0</v>
      </c>
      <c r="F73" s="172">
        <f>IP!D21*$C$73</f>
        <v>0</v>
      </c>
      <c r="G73" s="172">
        <f>IP!D22*$C$73</f>
        <v>0</v>
      </c>
      <c r="H73" s="172">
        <f>IP!D23*$C$73</f>
        <v>0</v>
      </c>
      <c r="I73" s="172">
        <f>IP!D24*$C$73</f>
        <v>0</v>
      </c>
      <c r="J73" s="172">
        <f>IP!D25*$C$73</f>
        <v>0</v>
      </c>
      <c r="K73" s="172">
        <f>IP!D26*$C$73</f>
        <v>0</v>
      </c>
      <c r="L73" s="172">
        <f>IP!D27*$C$73</f>
        <v>0</v>
      </c>
      <c r="M73" s="172">
        <f>IP!D28*$C$73</f>
        <v>0</v>
      </c>
    </row>
    <row r="74" spans="1:13" hidden="1">
      <c r="A74" s="172" t="s">
        <v>274</v>
      </c>
      <c r="B74" s="171"/>
      <c r="C74" s="173">
        <f>IP!D62</f>
        <v>1</v>
      </c>
      <c r="D74" s="172">
        <v>0</v>
      </c>
      <c r="E74" s="174">
        <f>D73*C$74</f>
        <v>0</v>
      </c>
      <c r="F74" s="174">
        <f>E73*$C$74</f>
        <v>0</v>
      </c>
      <c r="G74" s="174">
        <f>F73*$C$74</f>
        <v>0</v>
      </c>
      <c r="H74" s="174">
        <f>G73*$C$74</f>
        <v>0</v>
      </c>
      <c r="I74" s="174">
        <f t="shared" ref="I74:M74" si="0">H73*$C$74</f>
        <v>0</v>
      </c>
      <c r="J74" s="174">
        <f t="shared" si="0"/>
        <v>0</v>
      </c>
      <c r="K74" s="174">
        <f t="shared" si="0"/>
        <v>0</v>
      </c>
      <c r="L74" s="174">
        <f t="shared" si="0"/>
        <v>0</v>
      </c>
      <c r="M74" s="174">
        <f t="shared" si="0"/>
        <v>0</v>
      </c>
    </row>
    <row r="75" spans="1:13" hidden="1">
      <c r="A75" s="172" t="s">
        <v>275</v>
      </c>
      <c r="B75" s="171"/>
      <c r="C75" s="173">
        <f>IP!D63</f>
        <v>1</v>
      </c>
      <c r="D75" s="172">
        <v>0</v>
      </c>
      <c r="E75" s="172">
        <v>0</v>
      </c>
      <c r="F75" s="172">
        <f>D73*$C$75</f>
        <v>0</v>
      </c>
      <c r="G75" s="172">
        <f>E73*$C$75</f>
        <v>0</v>
      </c>
      <c r="H75" s="172">
        <f>F73*$C$75</f>
        <v>0</v>
      </c>
      <c r="I75" s="172">
        <f>G73*$C$75</f>
        <v>0</v>
      </c>
      <c r="J75" s="172">
        <f t="shared" ref="J75:L75" si="1">H73*$C$75</f>
        <v>0</v>
      </c>
      <c r="K75" s="172">
        <f t="shared" si="1"/>
        <v>0</v>
      </c>
      <c r="L75" s="172">
        <f t="shared" si="1"/>
        <v>0</v>
      </c>
      <c r="M75" s="172">
        <f>K73*$C$75</f>
        <v>0</v>
      </c>
    </row>
    <row r="76" spans="1:13" hidden="1">
      <c r="A76" s="172" t="s">
        <v>276</v>
      </c>
      <c r="B76" s="171"/>
      <c r="C76" s="173">
        <f>IP!D64</f>
        <v>1</v>
      </c>
      <c r="D76" s="172">
        <v>0</v>
      </c>
      <c r="E76" s="172">
        <v>0</v>
      </c>
      <c r="F76" s="172">
        <v>0</v>
      </c>
      <c r="G76" s="172">
        <f>D73*$C$76</f>
        <v>0</v>
      </c>
      <c r="H76" s="172">
        <f>E73*$C$76</f>
        <v>0</v>
      </c>
      <c r="I76" s="172">
        <f>F73*$C$76</f>
        <v>0</v>
      </c>
      <c r="J76" s="172">
        <f>G73*$C$76</f>
        <v>0</v>
      </c>
      <c r="K76" s="172">
        <f t="shared" ref="K76:L76" si="2">H73*$C$76</f>
        <v>0</v>
      </c>
      <c r="L76" s="172">
        <f t="shared" si="2"/>
        <v>0</v>
      </c>
      <c r="M76" s="172">
        <f>J73*$C$76</f>
        <v>0</v>
      </c>
    </row>
    <row r="77" spans="1:13" hidden="1">
      <c r="A77" s="172" t="s">
        <v>277</v>
      </c>
      <c r="B77" s="171"/>
      <c r="C77" s="173">
        <f>IP!D65</f>
        <v>1</v>
      </c>
      <c r="D77" s="172">
        <v>0</v>
      </c>
      <c r="E77" s="172">
        <v>0</v>
      </c>
      <c r="F77" s="172">
        <v>0</v>
      </c>
      <c r="G77" s="172">
        <v>0</v>
      </c>
      <c r="H77" s="172">
        <f>D73*$C$77</f>
        <v>0</v>
      </c>
      <c r="I77" s="172">
        <f>E73*$C$77</f>
        <v>0</v>
      </c>
      <c r="J77" s="172">
        <f t="shared" ref="J77:L77" si="3">F73*$C$77</f>
        <v>0</v>
      </c>
      <c r="K77" s="172">
        <f t="shared" si="3"/>
        <v>0</v>
      </c>
      <c r="L77" s="172">
        <f t="shared" si="3"/>
        <v>0</v>
      </c>
      <c r="M77" s="172">
        <f>I73*$C$77</f>
        <v>0</v>
      </c>
    </row>
    <row r="78" spans="1:13" hidden="1">
      <c r="A78" s="172" t="s">
        <v>278</v>
      </c>
      <c r="B78" s="171"/>
      <c r="C78" s="173">
        <f>IP!D66</f>
        <v>0</v>
      </c>
      <c r="D78" s="172">
        <v>0</v>
      </c>
      <c r="E78" s="172">
        <v>0</v>
      </c>
      <c r="F78" s="172">
        <v>0</v>
      </c>
      <c r="G78" s="172">
        <v>0</v>
      </c>
      <c r="H78" s="172">
        <v>0</v>
      </c>
      <c r="I78" s="172">
        <f>D73*$C$78</f>
        <v>0</v>
      </c>
      <c r="J78" s="172">
        <f t="shared" ref="J78:M78" si="4">E73*$C$78</f>
        <v>0</v>
      </c>
      <c r="K78" s="172">
        <f t="shared" si="4"/>
        <v>0</v>
      </c>
      <c r="L78" s="172">
        <f t="shared" si="4"/>
        <v>0</v>
      </c>
      <c r="M78" s="172">
        <f t="shared" si="4"/>
        <v>0</v>
      </c>
    </row>
    <row r="79" spans="1:13" hidden="1">
      <c r="A79" s="172" t="s">
        <v>279</v>
      </c>
      <c r="B79" s="171"/>
      <c r="C79" s="173">
        <f>IP!D67</f>
        <v>0</v>
      </c>
      <c r="D79" s="172">
        <v>0</v>
      </c>
      <c r="E79" s="172">
        <v>0</v>
      </c>
      <c r="F79" s="172">
        <v>0</v>
      </c>
      <c r="G79" s="172">
        <v>0</v>
      </c>
      <c r="H79" s="172">
        <v>0</v>
      </c>
      <c r="I79" s="172">
        <v>0</v>
      </c>
      <c r="J79" s="172">
        <f>D73*$C$79</f>
        <v>0</v>
      </c>
      <c r="K79" s="172">
        <f t="shared" ref="K79:M79" si="5">E73*$C$79</f>
        <v>0</v>
      </c>
      <c r="L79" s="172">
        <f t="shared" si="5"/>
        <v>0</v>
      </c>
      <c r="M79" s="172">
        <f t="shared" si="5"/>
        <v>0</v>
      </c>
    </row>
    <row r="80" spans="1:13" hidden="1">
      <c r="A80" s="172" t="s">
        <v>280</v>
      </c>
      <c r="B80" s="171"/>
      <c r="C80" s="173">
        <f>IP!D68</f>
        <v>0</v>
      </c>
      <c r="D80" s="172">
        <v>0</v>
      </c>
      <c r="E80" s="172">
        <v>0</v>
      </c>
      <c r="F80" s="172">
        <v>0</v>
      </c>
      <c r="G80" s="172">
        <v>0</v>
      </c>
      <c r="H80" s="172">
        <v>0</v>
      </c>
      <c r="I80" s="172">
        <v>0</v>
      </c>
      <c r="J80" s="172">
        <v>0</v>
      </c>
      <c r="K80" s="172">
        <f>D73*$C$80</f>
        <v>0</v>
      </c>
      <c r="L80" s="172">
        <f t="shared" ref="L80:M80" si="6">E73*$C$80</f>
        <v>0</v>
      </c>
      <c r="M80" s="172">
        <f t="shared" si="6"/>
        <v>0</v>
      </c>
    </row>
    <row r="81" spans="1:13" hidden="1">
      <c r="A81" s="172" t="s">
        <v>281</v>
      </c>
      <c r="B81" s="171"/>
      <c r="C81" s="173">
        <f>IP!D69</f>
        <v>0</v>
      </c>
      <c r="D81" s="172">
        <v>0</v>
      </c>
      <c r="E81" s="172">
        <v>0</v>
      </c>
      <c r="F81" s="172">
        <v>0</v>
      </c>
      <c r="G81" s="172">
        <v>0</v>
      </c>
      <c r="H81" s="172">
        <v>0</v>
      </c>
      <c r="I81" s="172">
        <v>0</v>
      </c>
      <c r="J81" s="172">
        <v>0</v>
      </c>
      <c r="K81" s="172">
        <v>0</v>
      </c>
      <c r="L81" s="173">
        <f>D73*$C$81</f>
        <v>0</v>
      </c>
      <c r="M81" s="173">
        <f>D73*$C$81</f>
        <v>0</v>
      </c>
    </row>
    <row r="82" spans="1:13" hidden="1">
      <c r="A82" s="172" t="s">
        <v>282</v>
      </c>
      <c r="B82" s="171"/>
      <c r="C82" s="173">
        <f>IP!D70</f>
        <v>0</v>
      </c>
      <c r="D82" s="172">
        <v>0</v>
      </c>
      <c r="E82" s="172">
        <v>0</v>
      </c>
      <c r="F82" s="172">
        <v>0</v>
      </c>
      <c r="G82" s="172">
        <v>0</v>
      </c>
      <c r="H82" s="172">
        <v>0</v>
      </c>
      <c r="I82" s="172">
        <v>0</v>
      </c>
      <c r="J82" s="172">
        <v>0</v>
      </c>
      <c r="K82" s="172">
        <v>0</v>
      </c>
      <c r="L82" s="172">
        <v>0</v>
      </c>
      <c r="M82" s="172">
        <f>D73*$C$82</f>
        <v>0</v>
      </c>
    </row>
    <row r="83" spans="1:13" hidden="1">
      <c r="A83" s="171" t="s">
        <v>285</v>
      </c>
      <c r="B83" s="171"/>
      <c r="C83" s="171"/>
      <c r="D83" s="174">
        <f>SUM(D73:D82)</f>
        <v>0</v>
      </c>
      <c r="E83" s="174">
        <f t="shared" ref="E83:M83" si="7">SUM(E73:E82)</f>
        <v>0</v>
      </c>
      <c r="F83" s="174">
        <f t="shared" si="7"/>
        <v>0</v>
      </c>
      <c r="G83" s="174">
        <f t="shared" si="7"/>
        <v>0</v>
      </c>
      <c r="H83" s="174">
        <f t="shared" si="7"/>
        <v>0</v>
      </c>
      <c r="I83" s="174">
        <f t="shared" si="7"/>
        <v>0</v>
      </c>
      <c r="J83" s="174">
        <f t="shared" si="7"/>
        <v>0</v>
      </c>
      <c r="K83" s="174">
        <f t="shared" si="7"/>
        <v>0</v>
      </c>
      <c r="L83" s="174">
        <f t="shared" si="7"/>
        <v>0</v>
      </c>
      <c r="M83" s="174">
        <f t="shared" si="7"/>
        <v>0</v>
      </c>
    </row>
    <row r="84" spans="1:13" hidden="1"/>
    <row r="85" spans="1:13" hidden="1"/>
    <row r="86" spans="1:13" hidden="1"/>
    <row r="87" spans="1:13" hidden="1">
      <c r="A87" s="9" t="s">
        <v>288</v>
      </c>
    </row>
    <row r="88" spans="1:13" hidden="1"/>
    <row r="89" spans="1:13" hidden="1">
      <c r="A89" s="171" t="s">
        <v>283</v>
      </c>
      <c r="B89" s="171"/>
      <c r="C89" s="171" t="s">
        <v>284</v>
      </c>
      <c r="D89" s="172">
        <f>IP!B123</f>
        <v>2012</v>
      </c>
      <c r="E89" s="172">
        <f>IP!B124</f>
        <v>2013</v>
      </c>
      <c r="F89" s="172">
        <f>IP!B125</f>
        <v>2014</v>
      </c>
      <c r="G89" s="172">
        <f>IP!B126</f>
        <v>2015</v>
      </c>
      <c r="H89" s="172">
        <f>IP!B127</f>
        <v>2016</v>
      </c>
      <c r="I89" s="172">
        <f>IP!B128</f>
        <v>2017</v>
      </c>
      <c r="J89" s="172">
        <f>IP!B129</f>
        <v>2018</v>
      </c>
      <c r="K89" s="172">
        <f>IP!B130</f>
        <v>2019</v>
      </c>
      <c r="L89" s="172">
        <f>IP!B131</f>
        <v>2020</v>
      </c>
      <c r="M89" s="172">
        <f>IP!B132</f>
        <v>2021</v>
      </c>
    </row>
    <row r="90" spans="1:13" hidden="1">
      <c r="A90" s="172" t="s">
        <v>273</v>
      </c>
      <c r="B90" s="171"/>
      <c r="C90" s="173">
        <f>IP!D168</f>
        <v>0</v>
      </c>
      <c r="D90" s="172">
        <f>IP!D123</f>
        <v>0</v>
      </c>
      <c r="E90" s="172">
        <f>IP!D124</f>
        <v>0</v>
      </c>
      <c r="F90" s="172">
        <f>IP!D125</f>
        <v>0</v>
      </c>
      <c r="G90" s="172">
        <f>IP!D126</f>
        <v>0</v>
      </c>
      <c r="H90" s="172">
        <f>IP!D127</f>
        <v>0</v>
      </c>
      <c r="I90" s="172">
        <f>IP!D128</f>
        <v>0</v>
      </c>
      <c r="J90" s="172">
        <f>IP!D129</f>
        <v>0</v>
      </c>
      <c r="K90" s="172">
        <f>IP!D130</f>
        <v>0</v>
      </c>
      <c r="L90" s="172">
        <f>IP!D131</f>
        <v>0</v>
      </c>
      <c r="M90" s="172">
        <f>IP!D132</f>
        <v>0</v>
      </c>
    </row>
    <row r="91" spans="1:13" hidden="1">
      <c r="A91" s="172" t="s">
        <v>274</v>
      </c>
      <c r="B91" s="171"/>
      <c r="C91" s="173">
        <f>IP!D169</f>
        <v>0</v>
      </c>
      <c r="D91" s="172"/>
      <c r="E91" s="172">
        <f>D90*$C$91</f>
        <v>0</v>
      </c>
      <c r="F91" s="172">
        <f t="shared" ref="F91:M91" si="8">E90*$C$91</f>
        <v>0</v>
      </c>
      <c r="G91" s="172">
        <f t="shared" si="8"/>
        <v>0</v>
      </c>
      <c r="H91" s="172">
        <f t="shared" si="8"/>
        <v>0</v>
      </c>
      <c r="I91" s="172">
        <f t="shared" si="8"/>
        <v>0</v>
      </c>
      <c r="J91" s="172">
        <f t="shared" si="8"/>
        <v>0</v>
      </c>
      <c r="K91" s="172">
        <f t="shared" si="8"/>
        <v>0</v>
      </c>
      <c r="L91" s="172">
        <f t="shared" si="8"/>
        <v>0</v>
      </c>
      <c r="M91" s="172">
        <f t="shared" si="8"/>
        <v>0</v>
      </c>
    </row>
    <row r="92" spans="1:13" hidden="1">
      <c r="A92" s="172" t="s">
        <v>275</v>
      </c>
      <c r="B92" s="171"/>
      <c r="C92" s="173">
        <f>IP!D170</f>
        <v>0</v>
      </c>
      <c r="D92" s="172"/>
      <c r="E92" s="172"/>
      <c r="F92" s="172">
        <f>D$90*$C92</f>
        <v>0</v>
      </c>
      <c r="G92" s="172">
        <f>E$90*$C92</f>
        <v>0</v>
      </c>
      <c r="H92" s="172">
        <f>F$90*$C92</f>
        <v>0</v>
      </c>
      <c r="I92" s="172">
        <f t="shared" ref="I92:M92" si="9">G$90*$C92</f>
        <v>0</v>
      </c>
      <c r="J92" s="172">
        <f t="shared" si="9"/>
        <v>0</v>
      </c>
      <c r="K92" s="172">
        <f t="shared" si="9"/>
        <v>0</v>
      </c>
      <c r="L92" s="172">
        <f t="shared" si="9"/>
        <v>0</v>
      </c>
      <c r="M92" s="172">
        <f t="shared" si="9"/>
        <v>0</v>
      </c>
    </row>
    <row r="93" spans="1:13" hidden="1">
      <c r="A93" s="172" t="s">
        <v>276</v>
      </c>
      <c r="B93" s="171"/>
      <c r="C93" s="173">
        <f>IP!D171</f>
        <v>0</v>
      </c>
      <c r="D93" s="172"/>
      <c r="E93" s="172"/>
      <c r="F93" s="171"/>
      <c r="G93" s="172">
        <f>$D90*$C93</f>
        <v>0</v>
      </c>
      <c r="H93" s="172">
        <f t="shared" ref="H93:M93" si="10">$D90*$C93</f>
        <v>0</v>
      </c>
      <c r="I93" s="172">
        <f t="shared" si="10"/>
        <v>0</v>
      </c>
      <c r="J93" s="172">
        <f t="shared" si="10"/>
        <v>0</v>
      </c>
      <c r="K93" s="172">
        <f t="shared" si="10"/>
        <v>0</v>
      </c>
      <c r="L93" s="172">
        <f t="shared" si="10"/>
        <v>0</v>
      </c>
      <c r="M93" s="172">
        <f t="shared" si="10"/>
        <v>0</v>
      </c>
    </row>
    <row r="94" spans="1:13" hidden="1">
      <c r="A94" s="172" t="s">
        <v>277</v>
      </c>
      <c r="B94" s="171"/>
      <c r="C94" s="173">
        <f>IP!D172</f>
        <v>0</v>
      </c>
      <c r="D94" s="172"/>
      <c r="E94" s="172"/>
      <c r="F94" s="171"/>
      <c r="G94" s="171"/>
      <c r="H94" s="172">
        <f>$D90*$C94</f>
        <v>0</v>
      </c>
      <c r="I94" s="172">
        <f t="shared" ref="I94:M94" si="11">$D90*$C94</f>
        <v>0</v>
      </c>
      <c r="J94" s="172">
        <f t="shared" si="11"/>
        <v>0</v>
      </c>
      <c r="K94" s="172">
        <f t="shared" si="11"/>
        <v>0</v>
      </c>
      <c r="L94" s="172">
        <f t="shared" si="11"/>
        <v>0</v>
      </c>
      <c r="M94" s="172">
        <f t="shared" si="11"/>
        <v>0</v>
      </c>
    </row>
    <row r="95" spans="1:13" hidden="1">
      <c r="A95" s="172" t="s">
        <v>278</v>
      </c>
      <c r="B95" s="171"/>
      <c r="C95" s="173">
        <f>IP!D173</f>
        <v>0</v>
      </c>
      <c r="D95" s="172"/>
      <c r="E95" s="172"/>
      <c r="F95" s="171"/>
      <c r="G95" s="171"/>
      <c r="H95" s="171"/>
      <c r="I95" s="172">
        <f>$D90*$C95</f>
        <v>0</v>
      </c>
      <c r="J95" s="172">
        <f t="shared" ref="J95:M95" si="12">$D90*$C95</f>
        <v>0</v>
      </c>
      <c r="K95" s="172">
        <f t="shared" si="12"/>
        <v>0</v>
      </c>
      <c r="L95" s="172">
        <f t="shared" si="12"/>
        <v>0</v>
      </c>
      <c r="M95" s="172">
        <f t="shared" si="12"/>
        <v>0</v>
      </c>
    </row>
    <row r="96" spans="1:13" hidden="1">
      <c r="A96" s="172" t="s">
        <v>279</v>
      </c>
      <c r="B96" s="171"/>
      <c r="C96" s="173">
        <f>IP!D174</f>
        <v>0</v>
      </c>
      <c r="D96" s="172"/>
      <c r="E96" s="172"/>
      <c r="F96" s="171"/>
      <c r="G96" s="171"/>
      <c r="H96" s="171"/>
      <c r="I96" s="171"/>
      <c r="J96" s="172">
        <f>$D90*$C96</f>
        <v>0</v>
      </c>
      <c r="K96" s="172">
        <f t="shared" ref="K96:M96" si="13">$D90*$C96</f>
        <v>0</v>
      </c>
      <c r="L96" s="172">
        <f t="shared" si="13"/>
        <v>0</v>
      </c>
      <c r="M96" s="172">
        <f t="shared" si="13"/>
        <v>0</v>
      </c>
    </row>
    <row r="97" spans="1:13" hidden="1">
      <c r="A97" s="172" t="s">
        <v>280</v>
      </c>
      <c r="B97" s="171"/>
      <c r="C97" s="173">
        <f>IP!D175</f>
        <v>0</v>
      </c>
      <c r="D97" s="172"/>
      <c r="E97" s="172"/>
      <c r="F97" s="171"/>
      <c r="G97" s="171"/>
      <c r="H97" s="171"/>
      <c r="I97" s="171"/>
      <c r="J97" s="171"/>
      <c r="K97" s="172">
        <f>$D90*$C97</f>
        <v>0</v>
      </c>
      <c r="L97" s="172">
        <f t="shared" ref="L97:M97" si="14">$D90*$C97</f>
        <v>0</v>
      </c>
      <c r="M97" s="172">
        <f t="shared" si="14"/>
        <v>0</v>
      </c>
    </row>
    <row r="98" spans="1:13" hidden="1">
      <c r="A98" s="172" t="s">
        <v>281</v>
      </c>
      <c r="B98" s="171"/>
      <c r="C98" s="173">
        <f>IP!D176</f>
        <v>0</v>
      </c>
      <c r="D98" s="172"/>
      <c r="E98" s="172"/>
      <c r="F98" s="171"/>
      <c r="G98" s="171"/>
      <c r="H98" s="171"/>
      <c r="I98" s="171"/>
      <c r="J98" s="171"/>
      <c r="K98" s="171"/>
      <c r="L98" s="172">
        <f>$D90*$C98</f>
        <v>0</v>
      </c>
      <c r="M98" s="172">
        <f>$D90*$C98</f>
        <v>0</v>
      </c>
    </row>
    <row r="99" spans="1:13" hidden="1">
      <c r="A99" s="172" t="s">
        <v>282</v>
      </c>
      <c r="B99" s="171"/>
      <c r="C99" s="173">
        <f>IP!D177</f>
        <v>0</v>
      </c>
      <c r="D99" s="172"/>
      <c r="E99" s="172"/>
      <c r="F99" s="171"/>
      <c r="G99" s="171"/>
      <c r="H99" s="171"/>
      <c r="I99" s="171"/>
      <c r="J99" s="171"/>
      <c r="K99" s="171"/>
      <c r="L99" s="171"/>
      <c r="M99" s="172">
        <f t="shared" ref="M99" si="15">$D$90*$C99</f>
        <v>0</v>
      </c>
    </row>
    <row r="100" spans="1:13" hidden="1">
      <c r="A100" s="171" t="s">
        <v>285</v>
      </c>
      <c r="B100" s="171"/>
      <c r="C100" s="171"/>
      <c r="D100" s="174">
        <f>SUM(D90:D99)</f>
        <v>0</v>
      </c>
      <c r="E100" s="174">
        <f t="shared" ref="E100:M100" si="16">SUM(E90:E99)</f>
        <v>0</v>
      </c>
      <c r="F100" s="174">
        <f t="shared" si="16"/>
        <v>0</v>
      </c>
      <c r="G100" s="174">
        <f t="shared" si="16"/>
        <v>0</v>
      </c>
      <c r="H100" s="174">
        <f t="shared" si="16"/>
        <v>0</v>
      </c>
      <c r="I100" s="174">
        <f t="shared" si="16"/>
        <v>0</v>
      </c>
      <c r="J100" s="174">
        <f t="shared" si="16"/>
        <v>0</v>
      </c>
      <c r="K100" s="174">
        <f t="shared" si="16"/>
        <v>0</v>
      </c>
      <c r="L100" s="174">
        <f t="shared" si="16"/>
        <v>0</v>
      </c>
      <c r="M100" s="174">
        <f t="shared" si="16"/>
        <v>0</v>
      </c>
    </row>
    <row r="101" spans="1:13" hidden="1"/>
    <row r="102" spans="1:13" hidden="1"/>
    <row r="103" spans="1:13" hidden="1"/>
    <row r="104" spans="1:13" hidden="1"/>
    <row r="105" spans="1:13" hidden="1"/>
  </sheetData>
  <sheetProtection algorithmName="SHA-512" hashValue="tQZ47HhcMtMPAanI5p6sKqX3aADLmYW7LUke8yOV4hQcefv4ecN7oSpaUS8ILelqOfF+N/OxcvlATkaWCGVNDg==" saltValue="cS59Bf8hiDRh9Qxws7MsGw==" spinCount="100000" sheet="1" objects="1" scenarios="1"/>
  <phoneticPr fontId="22" type="noConversion"/>
  <hyperlinks>
    <hyperlink ref="F7" r:id="rId1" xr:uid="{00000000-0004-0000-0400-000000000000}"/>
    <hyperlink ref="F8" r:id="rId2" xr:uid="{00000000-0004-0000-0400-000001000000}"/>
    <hyperlink ref="F9" r:id="rId3" location="table-2-14" xr:uid="{00000000-0004-0000-0400-000002000000}"/>
    <hyperlink ref="F10" r:id="rId4" location="table-2-14" xr:uid="{00000000-0004-0000-0400-000003000000}"/>
    <hyperlink ref="F12" r:id="rId5" location="table-2-14" xr:uid="{00000000-0004-0000-0400-000004000000}"/>
    <hyperlink ref="F13" r:id="rId6" location="table-2-14" xr:uid="{00000000-0004-0000-0400-000005000000}"/>
  </hyperlinks>
  <pageMargins left="0.75" right="0.75" top="1" bottom="1" header="0.5" footer="0.5"/>
  <pageSetup orientation="portrait" horizontalDpi="4294967292" verticalDpi="429496729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4750F6899D704E86ED59F92C8BD84A" ma:contentTypeVersion="9" ma:contentTypeDescription="Create a new document." ma:contentTypeScope="" ma:versionID="4b08852f38f9d61af653bede4b00e2bf">
  <xsd:schema xmlns:xsd="http://www.w3.org/2001/XMLSchema" xmlns:xs="http://www.w3.org/2001/XMLSchema" xmlns:p="http://schemas.microsoft.com/office/2006/metadata/properties" xmlns:ns2="40ff25b3-493e-4851-82b7-4e504def2eba" xmlns:ns3="f6af1aca-0353-497c-ad55-189cc252d094" targetNamespace="http://schemas.microsoft.com/office/2006/metadata/properties" ma:root="true" ma:fieldsID="8b6799b798efcce2c0f77415f89f005a" ns2:_="" ns3:_="">
    <xsd:import namespace="40ff25b3-493e-4851-82b7-4e504def2eba"/>
    <xsd:import namespace="f6af1aca-0353-497c-ad55-189cc252d09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f25b3-493e-4851-82b7-4e504def2e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f1aca-0353-497c-ad55-189cc252d0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0D6465-EA46-4088-AE8C-22C8939E37FC}"/>
</file>

<file path=customXml/itemProps2.xml><?xml version="1.0" encoding="utf-8"?>
<ds:datastoreItem xmlns:ds="http://schemas.openxmlformats.org/officeDocument/2006/customXml" ds:itemID="{A81CD907-62F0-459C-A461-442964E619CB}"/>
</file>

<file path=customXml/itemProps3.xml><?xml version="1.0" encoding="utf-8"?>
<ds:datastoreItem xmlns:ds="http://schemas.openxmlformats.org/officeDocument/2006/customXml" ds:itemID="{7DC8CD88-3D5C-420D-B3AB-37CEBC7BA1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Start</vt:lpstr>
      <vt:lpstr>IP</vt:lpstr>
      <vt:lpstr>Cal</vt:lpstr>
      <vt:lpstr>ER</vt:lpstr>
      <vt:lpstr>BG</vt:lpstr>
      <vt:lpstr>Bby</vt:lpstr>
      <vt:lpstr>CP</vt:lpstr>
      <vt:lpstr>Crediting</vt:lpstr>
      <vt:lpstr>fNRB</vt:lpstr>
      <vt:lpstr>Leakage</vt:lpstr>
      <vt:lpstr>npy</vt:lpstr>
      <vt:lpstr>PoA</vt:lpstr>
      <vt:lpstr>Start!Print_Area</vt:lpstr>
      <vt:lpstr>UFL</vt:lpstr>
      <vt:lpstr>WBT</vt:lpstr>
      <vt:lpstr>Y_N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</cp:lastModifiedBy>
  <cp:lastPrinted>2013-06-24T10:43:19Z</cp:lastPrinted>
  <dcterms:created xsi:type="dcterms:W3CDTF">2013-06-24T08:06:48Z</dcterms:created>
  <dcterms:modified xsi:type="dcterms:W3CDTF">2020-03-25T21:18:08Z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0x0101001E4750F6899D704E86ED59F92C8BD84A</vt:lpwstr>
  </property>
</Properties>
</file>