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https://thegoldstandard1.sharepoint.com/technical/Guests  Technical/March 2022 CONSULTATION Tools and Templates meth RECH MECD SDWS/METHODOLOGY FOR METERED &amp; MEASURED ENERGY COOKING DEVICES v1.0/Final Branded/"/>
    </mc:Choice>
  </mc:AlternateContent>
  <xr:revisionPtr revIDLastSave="491" documentId="14_{CF5EF048-7726-4428-A895-D650E57E3C24}" xr6:coauthVersionLast="47" xr6:coauthVersionMax="47" xr10:uidLastSave="{16A603DA-791A-435F-84F2-8909DBA61A27}"/>
  <bookViews>
    <workbookView xWindow="-120" yWindow="-120" windowWidth="29040" windowHeight="15840" xr2:uid="{888002CD-7D00-4282-BBF5-5D28B2537586}"/>
  </bookViews>
  <sheets>
    <sheet name="Cover" sheetId="9" r:id="rId1"/>
    <sheet name="BE" sheetId="6" r:id="rId2"/>
    <sheet name="PE" sheetId="8" r:id="rId3"/>
    <sheet name="LE" sheetId="11" r:id="rId4"/>
    <sheet name="ER" sheetId="1" r:id="rId5"/>
  </sheets>
  <externalReferences>
    <externalReference r:id="rId6"/>
    <externalReference r:id="rId7"/>
    <externalReference r:id="rId8"/>
  </externalReferences>
  <definedNames>
    <definedName name="__123Graph_D" hidden="1">[1]PkRp!#REF!</definedName>
    <definedName name="_Fill" hidden="1">#REF!</definedName>
    <definedName name="_Key1" hidden="1">[2]L_23!#REF!</definedName>
    <definedName name="_Key2" hidden="1">[2]L_23!#REF!</definedName>
    <definedName name="_Order1" hidden="1">0</definedName>
    <definedName name="_Ref61526676" localSheetId="4">ER!#REF!</definedName>
    <definedName name="_Ref61531034" localSheetId="4">ER!$P$20</definedName>
    <definedName name="_Sort" hidden="1">[3]UshDeb00!#REF!</definedName>
    <definedName name="aa" hidden="1">{#N/A,#N/A,FALSE,"M.42"}</definedName>
    <definedName name="d" hidden="1">[3]UshDeb00!#REF!</definedName>
    <definedName name="EE" hidden="1">{#N/A,#N/A,FALSE,"M.42"}</definedName>
    <definedName name="h" hidden="1">{#N/A,#N/A,FALSE,"M.31"}</definedName>
    <definedName name="ha" hidden="1">[2]L_23!#REF!</definedName>
    <definedName name="HTML_CodePage" hidden="1">1252</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k" hidden="1">{#N/A,#N/A,FALSE,"M.33"}</definedName>
    <definedName name="kinerja" hidden="1">{#N/A,#N/A,FALSE,"M.32"}</definedName>
    <definedName name="lamsd" hidden="1">{#N/A,#N/A,FALSE,"M.42"}</definedName>
    <definedName name="mj" hidden="1">{#N/A,#N/A,FALSE,"M.42"}</definedName>
    <definedName name="mmc" hidden="1">{#N/A,#N/A,FALSE,"M.42"}</definedName>
    <definedName name="mmd" hidden="1">{#N/A,#N/A,FALSE,"M.32"}</definedName>
    <definedName name="nnm" hidden="1">{#N/A,#N/A,FALSE,"M.43"}</definedName>
    <definedName name="nnnm" hidden="1">{#N/A,#N/A,FALSE,"M.42"}</definedName>
    <definedName name="p" hidden="1">{#N/A,#N/A,FALSE,"M.34"}</definedName>
    <definedName name="pp" hidden="1">{"'Sheet1'!$A$1:$H$145"}</definedName>
    <definedName name="prediksi_th03" hidden="1">{#N/A,#N/A,FALSE,"M.01";#N/A,#N/A,FALSE,"M.01"}</definedName>
    <definedName name="qqq" hidden="1">{#N/A,#N/A,FALSE,"M.42"}</definedName>
    <definedName name="qw" hidden="1">{#N/A,#N/A,FALSE,"M.33"}</definedName>
    <definedName name="s" hidden="1">{#N/A,#N/A,FALSE,"M.43"}</definedName>
    <definedName name="ss" hidden="1">{#N/A,#N/A,FALSE,"M.43"}</definedName>
    <definedName name="t" hidden="1">{#N/A,#N/A,FALSE,"M.02"}</definedName>
    <definedName name="u" hidden="1">{#N/A,#N/A,FALSE,"M.32"}</definedName>
    <definedName name="w" hidden="1">{#N/A,#N/A,FALSE,"M.01";#N/A,#N/A,FALSE,"M.01"}</definedName>
    <definedName name="wrn.M.01." hidden="1">{#N/A,#N/A,FALSE,"M.01"}</definedName>
    <definedName name="wrn.M.01D." hidden="1">{#N/A,#N/A,FALSE,"M.01";#N/A,#N/A,FALSE,"M.01"}</definedName>
    <definedName name="wrn.M.02." hidden="1">{#N/A,#N/A,FALSE,"M.02"}</definedName>
    <definedName name="wrn.M.31." hidden="1">{#N/A,#N/A,FALSE,"M.31"}</definedName>
    <definedName name="wrn.M.32." hidden="1">{#N/A,#N/A,FALSE,"M.32"}</definedName>
    <definedName name="wrn.M.33." hidden="1">{#N/A,#N/A,FALSE,"M.33"}</definedName>
    <definedName name="wrn.M.34." hidden="1">{#N/A,#N/A,FALSE,"M.34"}</definedName>
    <definedName name="wrn.M.41." hidden="1">{#N/A,#N/A,FALSE,"M.41"}</definedName>
    <definedName name="wrn.M.42" hidden="1">{#N/A,#N/A,FALSE,"M.41"}</definedName>
    <definedName name="wrn.M.42." hidden="1">{#N/A,#N/A,FALSE,"M.42"}</definedName>
    <definedName name="wrn.M.43." hidden="1">{#N/A,#N/A,FALSE,"M.43"}</definedName>
    <definedName name="wrn.PARA._.MARCO." hidden="1">{#N/A,#N/A,FALSE,"420-22 MOLIENDA";#N/A,#N/A,FALSE,"384-22 PREHOM. ADIT";#N/A,#N/A,FALSE,"560-23 MONT MEC ENFRIADOR";#N/A,#N/A,FALSE,"540-23 MONT MEC HORNO"}</definedName>
    <definedName name="x" hidden="1">{#N/A,#N/A,FALSE,"M.42"}</definedName>
    <definedName name="z" hidden="1">{#N/A,#N/A,FALSE,"M.01"}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6" l="1" a="1"/>
  <c r="F6" i="6" s="1"/>
  <c r="F20" i="6"/>
  <c r="F19" i="6"/>
  <c r="F14" i="8"/>
  <c r="F13" i="8"/>
  <c r="F27" i="8"/>
  <c r="F25" i="8"/>
  <c r="C28" i="9"/>
  <c r="D28" i="9" s="1"/>
  <c r="B9" i="1"/>
  <c r="B10" i="1"/>
  <c r="C10" i="1"/>
  <c r="B11" i="1" s="1"/>
  <c r="C11" i="1" s="1"/>
  <c r="B12" i="1" s="1"/>
  <c r="C12" i="1" s="1"/>
  <c r="B13" i="1" s="1"/>
  <c r="C9" i="1"/>
  <c r="C29" i="9"/>
  <c r="D29" i="9" s="1"/>
  <c r="C30" i="9" s="1"/>
  <c r="D30" i="9" s="1"/>
  <c r="C31" i="9" s="1"/>
  <c r="F26" i="8"/>
  <c r="F48" i="8"/>
  <c r="F36" i="8"/>
  <c r="F10" i="8"/>
  <c r="F48" i="6"/>
  <c r="F68" i="8"/>
  <c r="F69" i="8"/>
  <c r="F55" i="8"/>
  <c r="H19" i="9"/>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D20" i="9"/>
  <c r="F8" i="6"/>
  <c r="F22" i="6"/>
  <c r="F9" i="6"/>
  <c r="F10" i="6"/>
  <c r="F21" i="6"/>
  <c r="F23" i="6"/>
  <c r="F24" i="6"/>
  <c r="D112" i="1"/>
  <c r="F49" i="6" l="1"/>
  <c r="F46" i="6" s="1"/>
  <c r="F47" i="6" s="1"/>
  <c r="C13" i="1"/>
  <c r="B14" i="1" s="1"/>
  <c r="C14" i="1" s="1"/>
  <c r="B15" i="1" s="1"/>
  <c r="C15" i="1" s="1"/>
  <c r="B16" i="1" s="1"/>
  <c r="C16" i="1" s="1"/>
  <c r="B17" i="1" s="1"/>
  <c r="C17" i="1" s="1"/>
  <c r="B18" i="1" s="1"/>
  <c r="C18" i="1" s="1"/>
  <c r="B19" i="1" s="1"/>
  <c r="C19" i="1" s="1"/>
  <c r="B20" i="1" s="1"/>
  <c r="C20" i="1" s="1"/>
  <c r="B21" i="1" s="1"/>
  <c r="C21" i="1" s="1"/>
  <c r="B22" i="1" s="1"/>
  <c r="C22" i="1" s="1"/>
  <c r="B23" i="1" s="1"/>
  <c r="C23" i="1" s="1"/>
  <c r="B24" i="1" s="1"/>
  <c r="C24" i="1" s="1"/>
  <c r="B25" i="1" s="1"/>
  <c r="C25" i="1" s="1"/>
  <c r="B26" i="1" s="1"/>
  <c r="C26" i="1" s="1"/>
  <c r="B27" i="1" s="1"/>
  <c r="C27" i="1" s="1"/>
  <c r="B28" i="1" s="1"/>
  <c r="C28" i="1" s="1"/>
  <c r="B29" i="1" s="1"/>
  <c r="C29" i="1" s="1"/>
  <c r="B30" i="1" s="1"/>
  <c r="C30" i="1" s="1"/>
  <c r="B31" i="1" s="1"/>
  <c r="C31" i="1" s="1"/>
  <c r="B32" i="1" s="1"/>
  <c r="C32" i="1" s="1"/>
  <c r="B33" i="1" s="1"/>
  <c r="C33" i="1" s="1"/>
  <c r="B34" i="1" s="1"/>
  <c r="C34" i="1" s="1"/>
  <c r="B35" i="1" s="1"/>
  <c r="C35" i="1" s="1"/>
  <c r="B36" i="1" s="1"/>
  <c r="C36" i="1" s="1"/>
  <c r="B37" i="1" s="1"/>
  <c r="C37" i="1" s="1"/>
  <c r="B38" i="1" s="1"/>
  <c r="C38" i="1" s="1"/>
  <c r="B39" i="1" s="1"/>
  <c r="C39" i="1" s="1"/>
  <c r="B40" i="1" s="1"/>
  <c r="C40" i="1" s="1"/>
  <c r="B41" i="1" s="1"/>
  <c r="C41" i="1" s="1"/>
  <c r="B42" i="1" s="1"/>
  <c r="C42" i="1" s="1"/>
  <c r="B43" i="1" s="1"/>
  <c r="C43" i="1" s="1"/>
  <c r="B44" i="1" s="1"/>
  <c r="C44" i="1" s="1"/>
  <c r="B45" i="1" s="1"/>
  <c r="C45" i="1" s="1"/>
  <c r="B46" i="1" s="1"/>
  <c r="C46" i="1" s="1"/>
  <c r="B47" i="1" s="1"/>
  <c r="C47" i="1" s="1"/>
  <c r="B48" i="1" s="1"/>
  <c r="C48" i="1" s="1"/>
  <c r="B49" i="1" s="1"/>
  <c r="C49" i="1" s="1"/>
  <c r="B50" i="1" s="1"/>
  <c r="C50" i="1" s="1"/>
  <c r="B51" i="1" s="1"/>
  <c r="C51" i="1" s="1"/>
  <c r="B52" i="1" s="1"/>
  <c r="C52" i="1" s="1"/>
  <c r="B53" i="1" s="1"/>
  <c r="C53" i="1" s="1"/>
  <c r="B54" i="1" s="1"/>
  <c r="C54" i="1" s="1"/>
  <c r="B55" i="1" s="1"/>
  <c r="C55" i="1" s="1"/>
  <c r="B56" i="1" s="1"/>
  <c r="C56" i="1" s="1"/>
  <c r="B57" i="1" s="1"/>
  <c r="C57" i="1" s="1"/>
  <c r="B58" i="1" s="1"/>
  <c r="C58" i="1" s="1"/>
  <c r="B59" i="1" s="1"/>
  <c r="C59" i="1" s="1"/>
  <c r="B60" i="1" s="1"/>
  <c r="C60" i="1" s="1"/>
  <c r="B61" i="1" s="1"/>
  <c r="C61" i="1" s="1"/>
  <c r="B62" i="1" s="1"/>
  <c r="C62" i="1" s="1"/>
  <c r="B63" i="1" s="1"/>
  <c r="C63" i="1" s="1"/>
  <c r="B64" i="1" s="1"/>
  <c r="C64" i="1" s="1"/>
  <c r="B65" i="1" s="1"/>
  <c r="C65" i="1" s="1"/>
  <c r="B66" i="1" s="1"/>
  <c r="C66" i="1" s="1"/>
  <c r="B67" i="1" s="1"/>
  <c r="C67" i="1" s="1"/>
  <c r="B68" i="1" s="1"/>
  <c r="C68" i="1" s="1"/>
  <c r="B69" i="1" s="1"/>
  <c r="C69" i="1" s="1"/>
  <c r="B70" i="1" s="1"/>
  <c r="C70" i="1" s="1"/>
  <c r="B71" i="1" s="1"/>
  <c r="C71" i="1" s="1"/>
  <c r="B72" i="1" s="1"/>
  <c r="C72" i="1" s="1"/>
  <c r="B73" i="1" s="1"/>
  <c r="C73" i="1" s="1"/>
  <c r="B74" i="1" s="1"/>
  <c r="C74" i="1" s="1"/>
  <c r="B75" i="1" s="1"/>
  <c r="C75" i="1" s="1"/>
  <c r="B76" i="1" s="1"/>
  <c r="C76" i="1" s="1"/>
  <c r="B77" i="1" s="1"/>
  <c r="C77" i="1" s="1"/>
  <c r="B78" i="1" s="1"/>
  <c r="C78" i="1" s="1"/>
  <c r="B79" i="1" s="1"/>
  <c r="C79" i="1" s="1"/>
  <c r="B80" i="1" s="1"/>
  <c r="C80" i="1" s="1"/>
  <c r="B81" i="1" s="1"/>
  <c r="C81" i="1" s="1"/>
  <c r="B82" i="1" s="1"/>
  <c r="C82" i="1" s="1"/>
  <c r="B83" i="1" s="1"/>
  <c r="C83" i="1" s="1"/>
  <c r="B84" i="1" s="1"/>
  <c r="C84" i="1" s="1"/>
  <c r="B85" i="1" s="1"/>
  <c r="C85" i="1" s="1"/>
  <c r="B86" i="1" s="1"/>
  <c r="C86" i="1" s="1"/>
  <c r="B87" i="1" s="1"/>
  <c r="C87" i="1" s="1"/>
  <c r="B88" i="1" s="1"/>
  <c r="C88" i="1" s="1"/>
  <c r="B89" i="1" s="1"/>
  <c r="C89" i="1" s="1"/>
  <c r="B90" i="1" s="1"/>
  <c r="C90" i="1" s="1"/>
  <c r="B91" i="1" s="1"/>
  <c r="C91" i="1" s="1"/>
  <c r="B92" i="1" s="1"/>
  <c r="C92" i="1" s="1"/>
  <c r="B93" i="1" s="1"/>
  <c r="C93" i="1" s="1"/>
  <c r="B94" i="1" s="1"/>
  <c r="C94" i="1" s="1"/>
  <c r="B95" i="1" s="1"/>
  <c r="C95" i="1" s="1"/>
  <c r="B96" i="1" s="1"/>
  <c r="C96" i="1" s="1"/>
  <c r="B97" i="1" s="1"/>
  <c r="C97" i="1" s="1"/>
  <c r="B98" i="1" s="1"/>
  <c r="C98" i="1" s="1"/>
  <c r="B99" i="1" s="1"/>
  <c r="C99" i="1" s="1"/>
  <c r="B100" i="1" s="1"/>
  <c r="C100" i="1" s="1"/>
  <c r="B101" i="1" s="1"/>
  <c r="C101" i="1" s="1"/>
  <c r="B102" i="1" s="1"/>
  <c r="C102" i="1" s="1"/>
  <c r="B103" i="1" s="1"/>
  <c r="C103" i="1" s="1"/>
  <c r="B104" i="1" s="1"/>
  <c r="C104" i="1" s="1"/>
  <c r="B105" i="1" s="1"/>
  <c r="C105" i="1" s="1"/>
  <c r="B106" i="1" s="1"/>
  <c r="C106" i="1" s="1"/>
  <c r="B107" i="1" s="1"/>
  <c r="C107" i="1" s="1"/>
  <c r="B108" i="1" s="1"/>
  <c r="C108" i="1" s="1"/>
  <c r="B109" i="1" s="1"/>
  <c r="C109" i="1" s="1"/>
  <c r="B110" i="1" s="1"/>
  <c r="C110" i="1" s="1"/>
  <c r="B111" i="1" s="1"/>
  <c r="D31" i="9"/>
  <c r="C32" i="9" s="1"/>
  <c r="F2" i="11" l="1"/>
  <c r="F3" i="11" s="1"/>
  <c r="F66" i="8"/>
  <c r="I106" i="1"/>
  <c r="I103" i="1"/>
  <c r="I98" i="1"/>
  <c r="I95" i="1"/>
  <c r="I90" i="1"/>
  <c r="I87" i="1"/>
  <c r="I82" i="1"/>
  <c r="I79" i="1"/>
  <c r="I74" i="1"/>
  <c r="I71" i="1"/>
  <c r="I66" i="1"/>
  <c r="I63" i="1"/>
  <c r="I58" i="1"/>
  <c r="I55" i="1"/>
  <c r="I12" i="1"/>
  <c r="I16" i="1"/>
  <c r="I20" i="1"/>
  <c r="I24" i="1"/>
  <c r="I28" i="1"/>
  <c r="I32" i="1"/>
  <c r="I36" i="1"/>
  <c r="I40" i="1"/>
  <c r="I44" i="1"/>
  <c r="I48" i="1"/>
  <c r="I52" i="1"/>
  <c r="I108" i="1"/>
  <c r="I105" i="1"/>
  <c r="I100" i="1"/>
  <c r="I97" i="1"/>
  <c r="I92" i="1"/>
  <c r="I89" i="1"/>
  <c r="I84" i="1"/>
  <c r="I81" i="1"/>
  <c r="I76" i="1"/>
  <c r="I73" i="1"/>
  <c r="I68" i="1"/>
  <c r="I65" i="1"/>
  <c r="I60" i="1"/>
  <c r="I57" i="1"/>
  <c r="I107" i="1"/>
  <c r="I102" i="1"/>
  <c r="I91" i="1"/>
  <c r="I86" i="1"/>
  <c r="I75" i="1"/>
  <c r="I70" i="1"/>
  <c r="I59" i="1"/>
  <c r="I13" i="1"/>
  <c r="I18" i="1"/>
  <c r="I23" i="1"/>
  <c r="I29" i="1"/>
  <c r="I34" i="1"/>
  <c r="I39" i="1"/>
  <c r="I45" i="1"/>
  <c r="I50" i="1"/>
  <c r="I110" i="1"/>
  <c r="I99" i="1"/>
  <c r="I94" i="1"/>
  <c r="I83" i="1"/>
  <c r="I78" i="1"/>
  <c r="I67" i="1"/>
  <c r="I62" i="1"/>
  <c r="I10" i="1"/>
  <c r="I15" i="1"/>
  <c r="I21" i="1"/>
  <c r="I26" i="1"/>
  <c r="I31" i="1"/>
  <c r="I37" i="1"/>
  <c r="I42" i="1"/>
  <c r="I47" i="1"/>
  <c r="I53" i="1"/>
  <c r="I101" i="1"/>
  <c r="I96" i="1"/>
  <c r="I85" i="1"/>
  <c r="I80" i="1"/>
  <c r="G32" i="9" s="1"/>
  <c r="I69" i="1"/>
  <c r="I64" i="1"/>
  <c r="I9" i="1"/>
  <c r="I14" i="1"/>
  <c r="I19" i="1"/>
  <c r="I25" i="1"/>
  <c r="I30" i="1"/>
  <c r="I35" i="1"/>
  <c r="I41" i="1"/>
  <c r="I46" i="1"/>
  <c r="I51" i="1"/>
  <c r="I109" i="1"/>
  <c r="I104" i="1"/>
  <c r="I93" i="1"/>
  <c r="I88" i="1"/>
  <c r="I77" i="1"/>
  <c r="I72" i="1"/>
  <c r="I61" i="1"/>
  <c r="I56" i="1"/>
  <c r="I11" i="1"/>
  <c r="I17" i="1"/>
  <c r="I22" i="1"/>
  <c r="I27" i="1"/>
  <c r="I33" i="1"/>
  <c r="I38" i="1"/>
  <c r="I43" i="1"/>
  <c r="I49" i="1"/>
  <c r="I54" i="1"/>
  <c r="F4" i="8"/>
  <c r="F5" i="8" s="1"/>
  <c r="F67" i="8"/>
  <c r="D32" i="9"/>
  <c r="G109" i="1"/>
  <c r="G107" i="1"/>
  <c r="G105" i="1"/>
  <c r="G103" i="1"/>
  <c r="G101" i="1"/>
  <c r="G99" i="1"/>
  <c r="G97" i="1"/>
  <c r="G95" i="1"/>
  <c r="G93" i="1"/>
  <c r="G91" i="1"/>
  <c r="G89" i="1"/>
  <c r="G87" i="1"/>
  <c r="G85" i="1"/>
  <c r="G83" i="1"/>
  <c r="G81" i="1"/>
  <c r="G79" i="1"/>
  <c r="G77" i="1"/>
  <c r="G75" i="1"/>
  <c r="G73" i="1"/>
  <c r="G71" i="1"/>
  <c r="G69" i="1"/>
  <c r="G67" i="1"/>
  <c r="G65" i="1"/>
  <c r="G63" i="1"/>
  <c r="G61" i="1"/>
  <c r="G59" i="1"/>
  <c r="G57" i="1"/>
  <c r="G55" i="1"/>
  <c r="G10" i="1"/>
  <c r="G14" i="1"/>
  <c r="G18" i="1"/>
  <c r="G108" i="1"/>
  <c r="G100" i="1"/>
  <c r="G92" i="1"/>
  <c r="G84" i="1"/>
  <c r="G76" i="1"/>
  <c r="G68" i="1"/>
  <c r="G60" i="1"/>
  <c r="G12" i="1"/>
  <c r="G17" i="1"/>
  <c r="G22" i="1"/>
  <c r="G26" i="1"/>
  <c r="G30" i="1"/>
  <c r="G34" i="1"/>
  <c r="G38" i="1"/>
  <c r="G42" i="1"/>
  <c r="G46" i="1"/>
  <c r="G50" i="1"/>
  <c r="G54" i="1"/>
  <c r="G110" i="1"/>
  <c r="G102" i="1"/>
  <c r="G94" i="1"/>
  <c r="G86" i="1"/>
  <c r="G78" i="1"/>
  <c r="G70" i="1"/>
  <c r="G62" i="1"/>
  <c r="G96" i="1"/>
  <c r="G80" i="1"/>
  <c r="G64" i="1"/>
  <c r="G15" i="1"/>
  <c r="G21" i="1"/>
  <c r="G27" i="1"/>
  <c r="G32" i="1"/>
  <c r="G37" i="1"/>
  <c r="G43" i="1"/>
  <c r="G48" i="1"/>
  <c r="G53" i="1"/>
  <c r="G104" i="1"/>
  <c r="G88" i="1"/>
  <c r="G72" i="1"/>
  <c r="G56" i="1"/>
  <c r="G11" i="1"/>
  <c r="G19" i="1"/>
  <c r="G24" i="1"/>
  <c r="G29" i="1"/>
  <c r="G35" i="1"/>
  <c r="G40" i="1"/>
  <c r="G45" i="1"/>
  <c r="G51" i="1"/>
  <c r="G106" i="1"/>
  <c r="G90" i="1"/>
  <c r="G74" i="1"/>
  <c r="G58" i="1"/>
  <c r="G9" i="1"/>
  <c r="G16" i="1"/>
  <c r="G23" i="1"/>
  <c r="G28" i="1"/>
  <c r="G33" i="1"/>
  <c r="G39" i="1"/>
  <c r="G44" i="1"/>
  <c r="G49" i="1"/>
  <c r="G98" i="1"/>
  <c r="G82" i="1"/>
  <c r="G66" i="1"/>
  <c r="G13" i="1"/>
  <c r="G20" i="1"/>
  <c r="G25" i="1"/>
  <c r="G31" i="1"/>
  <c r="G36" i="1"/>
  <c r="G41" i="1"/>
  <c r="G47" i="1"/>
  <c r="G52" i="1"/>
  <c r="G29" i="9" l="1"/>
  <c r="E28" i="9"/>
  <c r="E29" i="9"/>
  <c r="E31" i="9"/>
  <c r="G30" i="9"/>
  <c r="G31" i="9"/>
  <c r="G28" i="9"/>
  <c r="E30" i="9"/>
  <c r="E32" i="9"/>
  <c r="H35" i="1"/>
  <c r="J35" i="1" s="1"/>
  <c r="H12" i="1"/>
  <c r="J12" i="1" s="1"/>
  <c r="H16" i="1"/>
  <c r="J16" i="1" s="1"/>
  <c r="H20" i="1"/>
  <c r="J20" i="1" s="1"/>
  <c r="H24" i="1"/>
  <c r="J24" i="1" s="1"/>
  <c r="H28" i="1"/>
  <c r="J28" i="1" s="1"/>
  <c r="H36" i="1"/>
  <c r="J36" i="1" s="1"/>
  <c r="H40" i="1"/>
  <c r="J40" i="1" s="1"/>
  <c r="H44" i="1"/>
  <c r="J44" i="1" s="1"/>
  <c r="H48" i="1"/>
  <c r="J48" i="1" s="1"/>
  <c r="H52" i="1"/>
  <c r="J52" i="1" s="1"/>
  <c r="H56" i="1"/>
  <c r="J56" i="1" s="1"/>
  <c r="H60" i="1"/>
  <c r="J60" i="1" s="1"/>
  <c r="H64" i="1"/>
  <c r="J64" i="1" s="1"/>
  <c r="H68" i="1"/>
  <c r="H72" i="1"/>
  <c r="J72" i="1" s="1"/>
  <c r="H76" i="1"/>
  <c r="J76" i="1" s="1"/>
  <c r="H80" i="1"/>
  <c r="H84" i="1"/>
  <c r="J84" i="1" s="1"/>
  <c r="H88" i="1"/>
  <c r="J88" i="1" s="1"/>
  <c r="H92" i="1"/>
  <c r="J92" i="1" s="1"/>
  <c r="H96" i="1"/>
  <c r="J96" i="1" s="1"/>
  <c r="H100" i="1"/>
  <c r="J100" i="1" s="1"/>
  <c r="H104" i="1"/>
  <c r="J104" i="1" s="1"/>
  <c r="H108" i="1"/>
  <c r="J108" i="1" s="1"/>
  <c r="H32" i="1"/>
  <c r="H9" i="1"/>
  <c r="J9" i="1" s="1"/>
  <c r="H13" i="1"/>
  <c r="J13" i="1" s="1"/>
  <c r="H17" i="1"/>
  <c r="J17" i="1" s="1"/>
  <c r="H21" i="1"/>
  <c r="J21" i="1" s="1"/>
  <c r="H25" i="1"/>
  <c r="J25" i="1" s="1"/>
  <c r="H29" i="1"/>
  <c r="J29" i="1" s="1"/>
  <c r="H37" i="1"/>
  <c r="J37" i="1" s="1"/>
  <c r="H41" i="1"/>
  <c r="J41" i="1" s="1"/>
  <c r="H45" i="1"/>
  <c r="J45" i="1" s="1"/>
  <c r="H49" i="1"/>
  <c r="J49" i="1" s="1"/>
  <c r="H53" i="1"/>
  <c r="J53" i="1" s="1"/>
  <c r="H57" i="1"/>
  <c r="J57" i="1" s="1"/>
  <c r="H61" i="1"/>
  <c r="J61" i="1" s="1"/>
  <c r="H65" i="1"/>
  <c r="J65" i="1" s="1"/>
  <c r="H69" i="1"/>
  <c r="J69" i="1" s="1"/>
  <c r="H73" i="1"/>
  <c r="J73" i="1" s="1"/>
  <c r="H77" i="1"/>
  <c r="J77" i="1" s="1"/>
  <c r="H81" i="1"/>
  <c r="J81" i="1" s="1"/>
  <c r="H85" i="1"/>
  <c r="J85" i="1" s="1"/>
  <c r="H89" i="1"/>
  <c r="J89" i="1" s="1"/>
  <c r="H93" i="1"/>
  <c r="J93" i="1" s="1"/>
  <c r="H97" i="1"/>
  <c r="J97" i="1" s="1"/>
  <c r="H101" i="1"/>
  <c r="J101" i="1" s="1"/>
  <c r="H105" i="1"/>
  <c r="J105" i="1" s="1"/>
  <c r="H109" i="1"/>
  <c r="J109" i="1" s="1"/>
  <c r="H33" i="1"/>
  <c r="J33" i="1" s="1"/>
  <c r="H10" i="1"/>
  <c r="J10" i="1" s="1"/>
  <c r="H14" i="1"/>
  <c r="J14" i="1" s="1"/>
  <c r="H18" i="1"/>
  <c r="J18" i="1" s="1"/>
  <c r="H22" i="1"/>
  <c r="J22" i="1" s="1"/>
  <c r="H26" i="1"/>
  <c r="J26" i="1" s="1"/>
  <c r="H30" i="1"/>
  <c r="J30" i="1" s="1"/>
  <c r="H38" i="1"/>
  <c r="J38" i="1" s="1"/>
  <c r="H42" i="1"/>
  <c r="J42" i="1" s="1"/>
  <c r="H46" i="1"/>
  <c r="J46" i="1" s="1"/>
  <c r="H50" i="1"/>
  <c r="J50" i="1" s="1"/>
  <c r="H54" i="1"/>
  <c r="J54" i="1" s="1"/>
  <c r="H58" i="1"/>
  <c r="J58" i="1" s="1"/>
  <c r="H62" i="1"/>
  <c r="J62" i="1" s="1"/>
  <c r="H70" i="1"/>
  <c r="J70" i="1" s="1"/>
  <c r="H74" i="1"/>
  <c r="J74" i="1" s="1"/>
  <c r="H78" i="1"/>
  <c r="J78" i="1" s="1"/>
  <c r="H82" i="1"/>
  <c r="J82" i="1" s="1"/>
  <c r="H86" i="1"/>
  <c r="J86" i="1" s="1"/>
  <c r="H90" i="1"/>
  <c r="J90" i="1" s="1"/>
  <c r="H94" i="1"/>
  <c r="J94" i="1" s="1"/>
  <c r="H98" i="1"/>
  <c r="J98" i="1" s="1"/>
  <c r="H102" i="1"/>
  <c r="J102" i="1" s="1"/>
  <c r="H106" i="1"/>
  <c r="J106" i="1" s="1"/>
  <c r="H34" i="1"/>
  <c r="J34" i="1" s="1"/>
  <c r="H11" i="1"/>
  <c r="J11" i="1" s="1"/>
  <c r="H15" i="1"/>
  <c r="J15" i="1" s="1"/>
  <c r="H19" i="1"/>
  <c r="J19" i="1" s="1"/>
  <c r="H27" i="1"/>
  <c r="J27" i="1" s="1"/>
  <c r="H31" i="1"/>
  <c r="J31" i="1" s="1"/>
  <c r="H39" i="1"/>
  <c r="J39" i="1" s="1"/>
  <c r="H47" i="1"/>
  <c r="J47" i="1" s="1"/>
  <c r="H51" i="1"/>
  <c r="J51" i="1" s="1"/>
  <c r="H59" i="1"/>
  <c r="J59" i="1" s="1"/>
  <c r="H67" i="1"/>
  <c r="J67" i="1" s="1"/>
  <c r="H71" i="1"/>
  <c r="J71" i="1" s="1"/>
  <c r="H79" i="1"/>
  <c r="J79" i="1" s="1"/>
  <c r="H83" i="1"/>
  <c r="J83" i="1" s="1"/>
  <c r="H91" i="1"/>
  <c r="J91" i="1" s="1"/>
  <c r="H95" i="1"/>
  <c r="J95" i="1" s="1"/>
  <c r="H103" i="1"/>
  <c r="J103" i="1" s="1"/>
  <c r="H66" i="1"/>
  <c r="J66" i="1" s="1"/>
  <c r="H110" i="1"/>
  <c r="J110" i="1" s="1"/>
  <c r="H23" i="1"/>
  <c r="J23" i="1" s="1"/>
  <c r="H43" i="1"/>
  <c r="J43" i="1" s="1"/>
  <c r="H55" i="1"/>
  <c r="J55" i="1" s="1"/>
  <c r="H63" i="1"/>
  <c r="J63" i="1" s="1"/>
  <c r="H75" i="1"/>
  <c r="J75" i="1" s="1"/>
  <c r="H87" i="1"/>
  <c r="J87" i="1" s="1"/>
  <c r="H99" i="1"/>
  <c r="J99" i="1" s="1"/>
  <c r="H107" i="1"/>
  <c r="J107" i="1" s="1"/>
  <c r="E33" i="9" l="1"/>
  <c r="G33" i="9"/>
  <c r="F28" i="9"/>
  <c r="H28" i="9" s="1"/>
  <c r="F29" i="9"/>
  <c r="H29" i="9" s="1"/>
  <c r="F30" i="9"/>
  <c r="H30" i="9" s="1"/>
  <c r="J32" i="1"/>
  <c r="J80" i="1"/>
  <c r="F32" i="9"/>
  <c r="H32" i="9" s="1"/>
  <c r="J68" i="1"/>
  <c r="F31" i="9"/>
  <c r="H31" i="9" s="1"/>
  <c r="H33" i="9" l="1"/>
  <c r="F3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<sst xmlns="http://schemas.openxmlformats.org/spreadsheetml/2006/main" count="319" uniqueCount="185">
  <si>
    <t>Emission reduction calculation tool</t>
  </si>
  <si>
    <t>Standard</t>
  </si>
  <si>
    <t>GS4GG</t>
  </si>
  <si>
    <t>Methodology</t>
  </si>
  <si>
    <t>METHODOLOGY-SDG IQ Methodology for metered &amp; measured energy cooking devices, Version 1.0</t>
  </si>
  <si>
    <t>Version of the ER tool</t>
  </si>
  <si>
    <t>Date</t>
  </si>
  <si>
    <t>Note</t>
  </si>
  <si>
    <r>
      <t xml:space="preserve">Only change the cells with </t>
    </r>
    <r>
      <rPr>
        <b/>
        <sz val="11"/>
        <color rgb="FFFFFF00"/>
        <rFont val="Verdana"/>
        <family val="2"/>
        <scheme val="minor"/>
      </rPr>
      <t>YELLOW</t>
    </r>
    <r>
      <rPr>
        <b/>
        <sz val="11"/>
        <color theme="1"/>
        <rFont val="Verdana"/>
        <family val="2"/>
        <scheme val="minor"/>
      </rPr>
      <t xml:space="preserve"> highlight</t>
    </r>
  </si>
  <si>
    <r>
      <t>This tool is applicable for the project with</t>
    </r>
    <r>
      <rPr>
        <b/>
        <u/>
        <sz val="11"/>
        <color theme="1"/>
        <rFont val="Verdana"/>
        <family val="2"/>
        <scheme val="minor"/>
      </rPr>
      <t xml:space="preserve"> single project scenario</t>
    </r>
    <r>
      <rPr>
        <sz val="11"/>
        <color theme="1"/>
        <rFont val="Arial"/>
        <family val="2"/>
      </rPr>
      <t>. In case the PD has more than 1 type of project scenario (e.g., project stove which are 5% different in absolute term, the PP could (1) create different files for different project scenarios OR (2) Copy the tab "ER schedule per month) but edit the input parameters accordingly. The summary table in tab "Cover" should also be updated.</t>
    </r>
  </si>
  <si>
    <t xml:space="preserve">Project Information </t>
    <phoneticPr fontId="0" type="noConversion"/>
  </si>
  <si>
    <t>Project name</t>
  </si>
  <si>
    <t>Super Saver ICS distribution in Wonderland</t>
  </si>
  <si>
    <t>Insert project name</t>
  </si>
  <si>
    <t>GS ID</t>
    <phoneticPr fontId="0" type="noConversion"/>
  </si>
  <si>
    <t>GS12345</t>
  </si>
  <si>
    <t>Insert GS ID.</t>
    <phoneticPr fontId="0" type="noConversion"/>
  </si>
  <si>
    <t xml:space="preserve">Crediting period </t>
    <phoneticPr fontId="0" type="noConversion"/>
  </si>
  <si>
    <t>5 years, renewal twice</t>
  </si>
  <si>
    <t>Project Start date</t>
  </si>
  <si>
    <t>Insert Project start date (DD/MM/YYYY).</t>
  </si>
  <si>
    <t>Crediting period - Start date</t>
  </si>
  <si>
    <t>Insert CP start date (DD/MM/YYYY).</t>
  </si>
  <si>
    <t>Crediting period - End date</t>
  </si>
  <si>
    <t>N/A</t>
    <phoneticPr fontId="0" type="noConversion"/>
  </si>
  <si>
    <t>Baseline Cookstove type</t>
    <phoneticPr fontId="0" type="noConversion"/>
  </si>
  <si>
    <t>TSF</t>
  </si>
  <si>
    <t>Insert the type of baseline cookstove for example three stone, mud stove etc.</t>
    <phoneticPr fontId="0" type="noConversion"/>
  </si>
  <si>
    <t xml:space="preserve">Project Technology </t>
    <phoneticPr fontId="0" type="noConversion"/>
  </si>
  <si>
    <t>Super Saver</t>
  </si>
  <si>
    <t>Insert the type of project cookstove (brand name/design etc.) for example Ecostove</t>
  </si>
  <si>
    <t xml:space="preserve">Project fuel </t>
  </si>
  <si>
    <t>Fossil fuel</t>
  </si>
  <si>
    <t>Select the fuel type for project stove. Please note that there are 3 cases of project fuel which are Electricity, Fossil fuel - FF (such as LPG) and Renewable fuel - RF (such as ethanol, etc.)</t>
  </si>
  <si>
    <t xml:space="preserve">Project Technology Useful Lifetime </t>
    <phoneticPr fontId="0" type="noConversion"/>
  </si>
  <si>
    <t>Select the useful lifetime of the project cookstove as per the manufactures specifications.</t>
    <phoneticPr fontId="0" type="noConversion"/>
  </si>
  <si>
    <t>Emission reduction per year</t>
  </si>
  <si>
    <t>Vintage</t>
  </si>
  <si>
    <t>From</t>
  </si>
  <si>
    <t>To</t>
  </si>
  <si>
    <t>Baseline emission (tCO2e)</t>
  </si>
  <si>
    <t>Project emission (tCO2e)</t>
  </si>
  <si>
    <t>Leakage emission (tCO2e)</t>
  </si>
  <si>
    <t>Emission reduction (tCO2e)</t>
  </si>
  <si>
    <t>Year 1</t>
  </si>
  <si>
    <t>Year 2</t>
  </si>
  <si>
    <t>Year 3</t>
  </si>
  <si>
    <t>Year 4</t>
  </si>
  <si>
    <t>Year 5</t>
  </si>
  <si>
    <t>Average</t>
  </si>
  <si>
    <t>Parameter</t>
  </si>
  <si>
    <t>Decription</t>
  </si>
  <si>
    <t>Eq#</t>
  </si>
  <si>
    <t>Value</t>
  </si>
  <si>
    <t>Unit</t>
  </si>
  <si>
    <t>Sources</t>
  </si>
  <si>
    <t xml:space="preserve">Estimating baseline emission factor </t>
  </si>
  <si>
    <t xml:space="preserve"> </t>
  </si>
  <si>
    <t>Eq1</t>
  </si>
  <si>
    <t>=</t>
  </si>
  <si>
    <t>Wood consumption</t>
  </si>
  <si>
    <t>tonnes</t>
  </si>
  <si>
    <t>&lt;&lt; Assume as 5 kg wood/day</t>
  </si>
  <si>
    <t>Charcoal consumption</t>
  </si>
  <si>
    <t>&lt;&lt; Assume as 1 kg charcoal/day</t>
  </si>
  <si>
    <t>LPG consumption</t>
  </si>
  <si>
    <t>&lt;&lt; Assume as 0.1 kg LPG/day</t>
  </si>
  <si>
    <t>&lt;&lt; IPCC default data</t>
  </si>
  <si>
    <t>&lt;&lt; Refer to TPDDTEC, version 4.0</t>
  </si>
  <si>
    <t>EFb,wood,nonCO2</t>
  </si>
  <si>
    <t>EFb,charcoal,nonCO2</t>
  </si>
  <si>
    <t>EFb,LPG,nonCO2</t>
  </si>
  <si>
    <t>Assume as zero</t>
  </si>
  <si>
    <t>Calculated</t>
  </si>
  <si>
    <t>Non-renewability status of woody biomass fuel i during year y</t>
  </si>
  <si>
    <t>-</t>
  </si>
  <si>
    <t>&lt;&lt; Assumption</t>
  </si>
  <si>
    <t>TJ/tonne</t>
  </si>
  <si>
    <t>Efficiency of Traditional wood stove</t>
  </si>
  <si>
    <t>&lt;&lt; MECD methodology</t>
  </si>
  <si>
    <t>Efficiency of Traditional charcoal stove</t>
  </si>
  <si>
    <t>Efficiency of LPG Stove</t>
  </si>
  <si>
    <t>k</t>
  </si>
  <si>
    <t>j</t>
  </si>
  <si>
    <t>i</t>
  </si>
  <si>
    <t>Percentage of HH use Wood</t>
  </si>
  <si>
    <t>Percentage of HH use Charcoal</t>
  </si>
  <si>
    <t>Percentage of HH use LPG</t>
  </si>
  <si>
    <t>Estimating overall Baseline Emission (BE)</t>
  </si>
  <si>
    <t>Eq. 2</t>
  </si>
  <si>
    <t>tCO2e/device/year</t>
  </si>
  <si>
    <t>tCO2e/device/month</t>
  </si>
  <si>
    <t>The amount of useful energy applied in the project in year y (TJ)</t>
  </si>
  <si>
    <t>TJ</t>
  </si>
  <si>
    <t>tCO2e/TJ</t>
  </si>
  <si>
    <t>Applied Project emission</t>
  </si>
  <si>
    <t>tCO2/year/device</t>
  </si>
  <si>
    <t>tCO2/month/device</t>
  </si>
  <si>
    <t>Electric stove</t>
  </si>
  <si>
    <t>Estimating total electricity use in the projet scenario</t>
  </si>
  <si>
    <t>Eq. 3</t>
  </si>
  <si>
    <t>MWh/Year</t>
  </si>
  <si>
    <t>Egp,d,y</t>
  </si>
  <si>
    <t>kWh/day/hh</t>
  </si>
  <si>
    <t>kWh/day/pp</t>
  </si>
  <si>
    <t>Reference value of 1 kWh/day/person</t>
  </si>
  <si>
    <t>Number of people per household</t>
  </si>
  <si>
    <t>pp/hh</t>
  </si>
  <si>
    <t>Assumption</t>
  </si>
  <si>
    <t>Factor to convert MWh to TJ</t>
  </si>
  <si>
    <t>factor</t>
  </si>
  <si>
    <t>Energy efficiency of the project device (fraction)</t>
  </si>
  <si>
    <t>Days</t>
  </si>
  <si>
    <t>Number of days per year</t>
  </si>
  <si>
    <t>days</t>
  </si>
  <si>
    <t>General knowledge</t>
  </si>
  <si>
    <t>Estimating project emisison</t>
  </si>
  <si>
    <t>Eq. 5</t>
  </si>
  <si>
    <t>MWh</t>
  </si>
  <si>
    <t>tCO2e/MWh</t>
  </si>
  <si>
    <t>Vietnam, example</t>
  </si>
  <si>
    <t>Defaul value</t>
  </si>
  <si>
    <t>Renewable energy stove</t>
  </si>
  <si>
    <t>𝐸𝐺𝑝,𝑢𝑠𝑒𝑓𝑢𝑙,𝑦</t>
  </si>
  <si>
    <t>Project device d1</t>
  </si>
  <si>
    <t>Pp,d,y</t>
  </si>
  <si>
    <t xml:space="preserve">= </t>
  </si>
  <si>
    <t>tonne/y</t>
  </si>
  <si>
    <t>NCVp,i</t>
  </si>
  <si>
    <t>𝜂𝑝,𝑑,𝑦</t>
  </si>
  <si>
    <t>Project device d2</t>
  </si>
  <si>
    <t>No emission for renewable sources</t>
  </si>
  <si>
    <t>Fossil fuel stove</t>
  </si>
  <si>
    <t>Weighted average baseline stove efficiency</t>
  </si>
  <si>
    <t>Weighted average project stove efficiency</t>
  </si>
  <si>
    <t>Leakage emission</t>
  </si>
  <si>
    <t>LEy = BE * (1- Leakage emission factor)</t>
  </si>
  <si>
    <t>Leakage emission factor default value</t>
  </si>
  <si>
    <t>%</t>
  </si>
  <si>
    <t>Emission reduction (Progressive cal)</t>
  </si>
  <si>
    <t>Summary of unit sold</t>
  </si>
  <si>
    <t>Batch from</t>
  </si>
  <si>
    <t>to</t>
  </si>
  <si>
    <t>Units sold</t>
  </si>
  <si>
    <t>Cumulative</t>
  </si>
  <si>
    <t>Usage rate</t>
  </si>
  <si>
    <t>BE</t>
  </si>
  <si>
    <t>PE</t>
  </si>
  <si>
    <t>LE</t>
  </si>
  <si>
    <t>ER</t>
  </si>
  <si>
    <t>Total</t>
  </si>
  <si>
    <t>MECD ER tool</t>
  </si>
  <si>
    <r>
      <t>Baseline emissions factor (tCO</t>
    </r>
    <r>
      <rPr>
        <vertAlign val="subscript"/>
        <sz val="11"/>
        <color theme="1"/>
        <rFont val="Verdana"/>
        <family val="2"/>
        <scheme val="minor"/>
      </rPr>
      <t>2</t>
    </r>
    <r>
      <rPr>
        <sz val="11"/>
        <color theme="1"/>
        <rFont val="Verdana"/>
        <family val="2"/>
        <scheme val="minor"/>
      </rPr>
      <t>e per TJ of useful energy)</t>
    </r>
  </si>
  <si>
    <r>
      <t>tCO</t>
    </r>
    <r>
      <rPr>
        <vertAlign val="subscript"/>
        <sz val="11"/>
        <color theme="1"/>
        <rFont val="Verdana"/>
        <family val="2"/>
        <scheme val="minor"/>
      </rPr>
      <t>2e</t>
    </r>
    <r>
      <rPr>
        <sz val="11"/>
        <color theme="1"/>
        <rFont val="Verdana"/>
        <family val="2"/>
        <scheme val="minor"/>
      </rPr>
      <t>/Useful TJ</t>
    </r>
  </si>
  <si>
    <r>
      <t xml:space="preserve">Amount of baseline fuel </t>
    </r>
    <r>
      <rPr>
        <i/>
        <sz val="11"/>
        <color theme="1"/>
        <rFont val="Verdana"/>
        <family val="2"/>
        <scheme val="minor"/>
      </rPr>
      <t>i</t>
    </r>
    <r>
      <rPr>
        <sz val="11"/>
        <color theme="1"/>
        <rFont val="Verdana"/>
        <family val="2"/>
        <scheme val="minor"/>
      </rPr>
      <t xml:space="preserve"> used in device </t>
    </r>
    <r>
      <rPr>
        <i/>
        <sz val="11"/>
        <color theme="1"/>
        <rFont val="Verdana"/>
        <family val="2"/>
        <scheme val="minor"/>
      </rPr>
      <t xml:space="preserve">j </t>
    </r>
    <r>
      <rPr>
        <sz val="11"/>
        <color theme="1"/>
        <rFont val="Verdana"/>
        <family val="2"/>
        <scheme val="minor"/>
      </rPr>
      <t>in the baseline</t>
    </r>
    <r>
      <rPr>
        <i/>
        <sz val="11"/>
        <color theme="1"/>
        <rFont val="Verdana"/>
        <family val="2"/>
        <scheme val="minor"/>
      </rPr>
      <t xml:space="preserve"> </t>
    </r>
    <r>
      <rPr>
        <sz val="11"/>
        <color theme="1"/>
        <rFont val="Verdana"/>
        <family val="2"/>
        <scheme val="minor"/>
      </rPr>
      <t>(tonnes)</t>
    </r>
  </si>
  <si>
    <r>
      <t xml:space="preserve">Emission factor of the baseline fuel </t>
    </r>
    <r>
      <rPr>
        <i/>
        <sz val="11"/>
        <color theme="1"/>
        <rFont val="Verdana"/>
        <family val="2"/>
        <scheme val="minor"/>
      </rPr>
      <t xml:space="preserve">i </t>
    </r>
    <r>
      <rPr>
        <sz val="11"/>
        <color theme="1"/>
        <rFont val="Verdana"/>
        <family val="2"/>
        <scheme val="minor"/>
      </rPr>
      <t>(tCO</t>
    </r>
    <r>
      <rPr>
        <vertAlign val="subscript"/>
        <sz val="11"/>
        <color theme="1"/>
        <rFont val="Verdana"/>
        <family val="2"/>
        <scheme val="minor"/>
      </rPr>
      <t>2</t>
    </r>
    <r>
      <rPr>
        <sz val="11"/>
        <color theme="1"/>
        <rFont val="Verdana"/>
        <family val="2"/>
        <scheme val="minor"/>
      </rPr>
      <t>e/tonne)</t>
    </r>
  </si>
  <si>
    <r>
      <t>EF</t>
    </r>
    <r>
      <rPr>
        <vertAlign val="subscript"/>
        <sz val="11"/>
        <color theme="1"/>
        <rFont val="Verdana"/>
        <family val="2"/>
        <scheme val="minor"/>
      </rPr>
      <t>b,wood,CO2</t>
    </r>
  </si>
  <si>
    <r>
      <t>tCO</t>
    </r>
    <r>
      <rPr>
        <vertAlign val="subscript"/>
        <sz val="11"/>
        <color theme="1"/>
        <rFont val="Verdana"/>
        <family val="2"/>
        <scheme val="minor"/>
      </rPr>
      <t>2</t>
    </r>
    <r>
      <rPr>
        <sz val="11"/>
        <color theme="1"/>
        <rFont val="Verdana"/>
        <family val="2"/>
        <scheme val="minor"/>
      </rPr>
      <t>/TJ</t>
    </r>
  </si>
  <si>
    <r>
      <t>EF</t>
    </r>
    <r>
      <rPr>
        <vertAlign val="subscript"/>
        <sz val="11"/>
        <color theme="1"/>
        <rFont val="Verdana"/>
        <family val="2"/>
        <scheme val="minor"/>
      </rPr>
      <t>b,charcoal,CO2</t>
    </r>
  </si>
  <si>
    <r>
      <t>EF</t>
    </r>
    <r>
      <rPr>
        <vertAlign val="subscript"/>
        <sz val="11"/>
        <color theme="1"/>
        <rFont val="Verdana"/>
        <family val="2"/>
        <scheme val="minor"/>
      </rPr>
      <t>b,LPG,CO2</t>
    </r>
  </si>
  <si>
    <r>
      <t>tCO</t>
    </r>
    <r>
      <rPr>
        <vertAlign val="subscript"/>
        <sz val="11"/>
        <color theme="1"/>
        <rFont val="Verdana"/>
        <family val="2"/>
        <scheme val="minor"/>
      </rPr>
      <t>2e</t>
    </r>
    <r>
      <rPr>
        <sz val="11"/>
        <color theme="1"/>
        <rFont val="Verdana"/>
        <family val="2"/>
        <scheme val="minor"/>
      </rPr>
      <t>/TJ</t>
    </r>
  </si>
  <si>
    <r>
      <t>tCO</t>
    </r>
    <r>
      <rPr>
        <vertAlign val="subscript"/>
        <sz val="11"/>
        <color theme="1"/>
        <rFont val="Verdana"/>
        <family val="2"/>
        <scheme val="minor"/>
      </rPr>
      <t>2</t>
    </r>
    <r>
      <rPr>
        <sz val="11"/>
        <color theme="1"/>
        <rFont val="Verdana"/>
        <family val="2"/>
        <scheme val="minor"/>
      </rPr>
      <t>/tonne fuel</t>
    </r>
  </si>
  <si>
    <r>
      <t>tCO</t>
    </r>
    <r>
      <rPr>
        <vertAlign val="subscript"/>
        <sz val="11"/>
        <color theme="1"/>
        <rFont val="Verdana"/>
        <family val="2"/>
        <scheme val="minor"/>
      </rPr>
      <t>2e</t>
    </r>
    <r>
      <rPr>
        <sz val="11"/>
        <color theme="1"/>
        <rFont val="Verdana"/>
        <family val="2"/>
        <scheme val="minor"/>
      </rPr>
      <t>/tonne fuel</t>
    </r>
  </si>
  <si>
    <r>
      <t xml:space="preserve">The net calorific value of the baseline fuel type </t>
    </r>
    <r>
      <rPr>
        <i/>
        <sz val="11"/>
        <color theme="1"/>
        <rFont val="Verdana"/>
        <family val="2"/>
        <scheme val="minor"/>
      </rPr>
      <t>i</t>
    </r>
    <r>
      <rPr>
        <sz val="11"/>
        <color theme="1"/>
        <rFont val="Verdana"/>
        <family val="2"/>
        <scheme val="minor"/>
      </rPr>
      <t xml:space="preserve"> (TJ/tonne)</t>
    </r>
  </si>
  <si>
    <r>
      <t>NCV</t>
    </r>
    <r>
      <rPr>
        <vertAlign val="subscript"/>
        <sz val="11"/>
        <color theme="1"/>
        <rFont val="Verdana"/>
        <family val="2"/>
        <scheme val="minor"/>
      </rPr>
      <t>b,wood</t>
    </r>
  </si>
  <si>
    <r>
      <t>NCV</t>
    </r>
    <r>
      <rPr>
        <vertAlign val="subscript"/>
        <sz val="11"/>
        <color theme="1"/>
        <rFont val="Verdana"/>
        <family val="2"/>
        <scheme val="minor"/>
      </rPr>
      <t>b,charcoal</t>
    </r>
  </si>
  <si>
    <r>
      <t>NCV</t>
    </r>
    <r>
      <rPr>
        <vertAlign val="subscript"/>
        <sz val="11"/>
        <color theme="1"/>
        <rFont val="Verdana"/>
        <family val="2"/>
        <scheme val="minor"/>
      </rPr>
      <t>b,LPG</t>
    </r>
  </si>
  <si>
    <r>
      <t xml:space="preserve">Efficiency of baseline device </t>
    </r>
    <r>
      <rPr>
        <i/>
        <sz val="11"/>
        <color theme="1"/>
        <rFont val="Verdana"/>
        <family val="2"/>
        <scheme val="minor"/>
      </rPr>
      <t>j</t>
    </r>
    <r>
      <rPr>
        <sz val="11"/>
        <color theme="1"/>
        <rFont val="Verdana"/>
        <family val="2"/>
        <scheme val="minor"/>
      </rPr>
      <t xml:space="preserve"> with fuel i</t>
    </r>
    <r>
      <rPr>
        <i/>
        <sz val="11"/>
        <color theme="1"/>
        <rFont val="Verdana"/>
        <family val="2"/>
        <scheme val="minor"/>
      </rPr>
      <t xml:space="preserve"> </t>
    </r>
    <r>
      <rPr>
        <sz val="11"/>
        <color theme="1"/>
        <rFont val="Verdana"/>
        <family val="2"/>
        <scheme val="minor"/>
      </rPr>
      <t>(fraction)</t>
    </r>
  </si>
  <si>
    <r>
      <t xml:space="preserve">Household </t>
    </r>
    <r>
      <rPr>
        <i/>
        <sz val="11"/>
        <color theme="1"/>
        <rFont val="Verdana"/>
        <family val="2"/>
        <scheme val="minor"/>
      </rPr>
      <t xml:space="preserve">k </t>
    </r>
    <r>
      <rPr>
        <sz val="11"/>
        <color theme="1"/>
        <rFont val="Verdana"/>
        <family val="2"/>
        <scheme val="minor"/>
      </rPr>
      <t>from the target population</t>
    </r>
  </si>
  <si>
    <r>
      <t xml:space="preserve">Baseline devices </t>
    </r>
    <r>
      <rPr>
        <i/>
        <sz val="11"/>
        <color theme="1"/>
        <rFont val="Verdana"/>
        <family val="2"/>
        <scheme val="minor"/>
      </rPr>
      <t>j</t>
    </r>
  </si>
  <si>
    <r>
      <t xml:space="preserve">Baseline fuel </t>
    </r>
    <r>
      <rPr>
        <i/>
        <sz val="11"/>
        <color theme="1"/>
        <rFont val="Verdana"/>
        <family val="2"/>
        <scheme val="minor"/>
      </rPr>
      <t>i</t>
    </r>
  </si>
  <si>
    <r>
      <t>Baseline emissions (tCO</t>
    </r>
    <r>
      <rPr>
        <vertAlign val="subscript"/>
        <sz val="11"/>
        <color theme="1"/>
        <rFont val="Verdana"/>
        <family val="2"/>
        <scheme val="minor"/>
      </rPr>
      <t>2</t>
    </r>
    <r>
      <rPr>
        <sz val="11"/>
        <color theme="1"/>
        <rFont val="Verdana"/>
        <family val="2"/>
        <scheme val="minor"/>
      </rPr>
      <t>e) in the year y</t>
    </r>
  </si>
  <si>
    <r>
      <t xml:space="preserve">Project emissions in year </t>
    </r>
    <r>
      <rPr>
        <i/>
        <sz val="11"/>
        <color theme="1"/>
        <rFont val="Verdana"/>
        <family val="2"/>
        <scheme val="minor"/>
      </rPr>
      <t>y</t>
    </r>
    <r>
      <rPr>
        <sz val="11"/>
        <color theme="1"/>
        <rFont val="Verdana"/>
        <family val="2"/>
        <scheme val="minor"/>
      </rPr>
      <t xml:space="preserve"> (tCO</t>
    </r>
    <r>
      <rPr>
        <vertAlign val="subscript"/>
        <sz val="11"/>
        <color theme="1"/>
        <rFont val="Verdana"/>
        <family val="2"/>
        <scheme val="minor"/>
      </rPr>
      <t>2</t>
    </r>
    <r>
      <rPr>
        <sz val="11"/>
        <color theme="1"/>
        <rFont val="Verdana"/>
        <family val="2"/>
        <scheme val="minor"/>
      </rPr>
      <t>)</t>
    </r>
  </si>
  <si>
    <r>
      <t xml:space="preserve">The amount of electricity used in the project scenario 
by device </t>
    </r>
    <r>
      <rPr>
        <i/>
        <sz val="11"/>
        <color theme="1"/>
        <rFont val="Verdana"/>
        <family val="2"/>
        <scheme val="minor"/>
      </rPr>
      <t>d</t>
    </r>
    <r>
      <rPr>
        <sz val="11"/>
        <color theme="1"/>
        <rFont val="Verdana"/>
        <family val="2"/>
        <scheme val="minor"/>
      </rPr>
      <t xml:space="preserve"> in year </t>
    </r>
    <r>
      <rPr>
        <i/>
        <sz val="11"/>
        <color theme="1"/>
        <rFont val="Verdana"/>
        <family val="2"/>
        <scheme val="minor"/>
      </rPr>
      <t xml:space="preserve">y </t>
    </r>
    <r>
      <rPr>
        <sz val="11"/>
        <color theme="1"/>
        <rFont val="Verdana"/>
        <family val="2"/>
        <scheme val="minor"/>
      </rPr>
      <t>(MWh)</t>
    </r>
  </si>
  <si>
    <r>
      <t>Amount of electricity used in the project scenario by device per</t>
    </r>
    <r>
      <rPr>
        <b/>
        <sz val="11"/>
        <color theme="1"/>
        <rFont val="Verdana"/>
        <family val="2"/>
        <scheme val="minor"/>
      </rPr>
      <t xml:space="preserve"> </t>
    </r>
    <r>
      <rPr>
        <sz val="11"/>
        <color theme="1"/>
        <rFont val="Verdana"/>
        <family val="2"/>
        <scheme val="minor"/>
      </rPr>
      <t>day</t>
    </r>
  </si>
  <si>
    <r>
      <t>Amount of electricity per person per</t>
    </r>
    <r>
      <rPr>
        <b/>
        <sz val="11"/>
        <color theme="1"/>
        <rFont val="Verdana"/>
        <family val="2"/>
        <scheme val="minor"/>
      </rPr>
      <t xml:space="preserve"> </t>
    </r>
    <r>
      <rPr>
        <sz val="11"/>
        <color theme="1"/>
        <rFont val="Verdana"/>
        <family val="2"/>
        <scheme val="minor"/>
      </rPr>
      <t>day</t>
    </r>
  </si>
  <si>
    <r>
      <t xml:space="preserve">The amount of energy used in the project scenario by device </t>
    </r>
    <r>
      <rPr>
        <i/>
        <sz val="11"/>
        <color theme="1"/>
        <rFont val="Verdana"/>
        <family val="2"/>
        <scheme val="minor"/>
      </rPr>
      <t>d</t>
    </r>
    <r>
      <rPr>
        <sz val="11"/>
        <color theme="1"/>
        <rFont val="Verdana"/>
        <family val="2"/>
        <scheme val="minor"/>
      </rPr>
      <t xml:space="preserve"> in year </t>
    </r>
    <r>
      <rPr>
        <i/>
        <sz val="11"/>
        <color theme="1"/>
        <rFont val="Verdana"/>
        <family val="2"/>
        <scheme val="minor"/>
      </rPr>
      <t xml:space="preserve">y </t>
    </r>
    <r>
      <rPr>
        <sz val="11"/>
        <color theme="1"/>
        <rFont val="Verdana"/>
        <family val="2"/>
        <scheme val="minor"/>
      </rPr>
      <t>(MWh)</t>
    </r>
  </si>
  <si>
    <r>
      <t>The emissions factor of the electricity system (tCO</t>
    </r>
    <r>
      <rPr>
        <vertAlign val="subscript"/>
        <sz val="11"/>
        <color theme="1"/>
        <rFont val="Verdana"/>
        <family val="2"/>
        <scheme val="minor"/>
      </rPr>
      <t>2</t>
    </r>
    <r>
      <rPr>
        <sz val="11"/>
        <color theme="1"/>
        <rFont val="Verdana"/>
        <family val="2"/>
        <scheme val="minor"/>
      </rPr>
      <t>e/MWh)</t>
    </r>
  </si>
  <si>
    <r>
      <t xml:space="preserve">Average technical transmission and distribution losses for providing electricity to source </t>
    </r>
    <r>
      <rPr>
        <i/>
        <sz val="11"/>
        <color theme="1"/>
        <rFont val="Verdana"/>
        <family val="2"/>
        <scheme val="minor"/>
      </rPr>
      <t>j</t>
    </r>
    <r>
      <rPr>
        <sz val="11"/>
        <color theme="1"/>
        <rFont val="Verdana"/>
        <family val="2"/>
        <scheme val="minor"/>
      </rPr>
      <t xml:space="preserve"> in year </t>
    </r>
    <r>
      <rPr>
        <i/>
        <sz val="11"/>
        <color theme="1"/>
        <rFont val="Verdana"/>
        <family val="2"/>
        <scheme val="minor"/>
      </rPr>
      <t>y</t>
    </r>
    <r>
      <rPr>
        <sz val="11"/>
        <color theme="1"/>
        <rFont val="Verdana"/>
        <family val="2"/>
        <scheme val="minor"/>
      </rPr>
      <t xml:space="preserve">. </t>
    </r>
  </si>
  <si>
    <r>
      <t xml:space="preserve">The amount of fuel used in the project in by device </t>
    </r>
    <r>
      <rPr>
        <i/>
        <sz val="11"/>
        <color rgb="FF4D4D4C"/>
        <rFont val="Verdana"/>
        <family val="2"/>
        <scheme val="minor"/>
      </rPr>
      <t xml:space="preserve">d </t>
    </r>
    <r>
      <rPr>
        <sz val="11"/>
        <color rgb="FF4D4D4C"/>
        <rFont val="Verdana"/>
        <family val="2"/>
        <scheme val="minor"/>
      </rPr>
      <t xml:space="preserve">in
year </t>
    </r>
    <r>
      <rPr>
        <i/>
        <sz val="11"/>
        <color rgb="FF4D4D4C"/>
        <rFont val="Verdana"/>
        <family val="2"/>
        <scheme val="minor"/>
      </rPr>
      <t>y</t>
    </r>
    <r>
      <rPr>
        <sz val="11"/>
        <color rgb="FF4D4D4C"/>
        <rFont val="Verdana"/>
        <family val="2"/>
        <scheme val="minor"/>
      </rPr>
      <t>, considering cap (mass or volume unit)</t>
    </r>
  </si>
  <si>
    <r>
      <t xml:space="preserve">The net calorific value of the fuel </t>
    </r>
    <r>
      <rPr>
        <i/>
        <sz val="11"/>
        <color rgb="FF4D4D4C"/>
        <rFont val="Verdana"/>
        <family val="2"/>
        <scheme val="minor"/>
      </rPr>
      <t xml:space="preserve">i </t>
    </r>
    <r>
      <rPr>
        <sz val="11"/>
        <color rgb="FF4D4D4C"/>
        <rFont val="Verdana"/>
        <family val="2"/>
        <scheme val="minor"/>
      </rPr>
      <t xml:space="preserve">used in the project
scenario in year </t>
    </r>
    <r>
      <rPr>
        <i/>
        <sz val="11"/>
        <color rgb="FF4D4D4C"/>
        <rFont val="Verdana"/>
        <family val="2"/>
        <scheme val="minor"/>
      </rPr>
      <t>y</t>
    </r>
  </si>
  <si>
    <r>
      <t xml:space="preserve">Energy efficiency of the project device, </t>
    </r>
    <r>
      <rPr>
        <i/>
        <sz val="11"/>
        <color rgb="FF4D4D4C"/>
        <rFont val="Verdana"/>
        <family val="2"/>
        <scheme val="minor"/>
      </rPr>
      <t xml:space="preserve">d </t>
    </r>
    <r>
      <rPr>
        <sz val="11"/>
        <color rgb="FF4D4D4C"/>
        <rFont val="Verdana"/>
        <family val="2"/>
        <scheme val="minor"/>
      </rPr>
      <t xml:space="preserve">in year </t>
    </r>
    <r>
      <rPr>
        <i/>
        <sz val="11"/>
        <color rgb="FF4D4D4C"/>
        <rFont val="Verdana"/>
        <family val="2"/>
        <scheme val="minor"/>
      </rPr>
      <t xml:space="preserve">y
</t>
    </r>
    <r>
      <rPr>
        <sz val="11"/>
        <color rgb="FF4D4D4C"/>
        <rFont val="Verdana"/>
        <family val="2"/>
        <scheme val="minor"/>
      </rPr>
      <t>(fraction)</t>
    </r>
  </si>
  <si>
    <t>Calculated (including fNRB)</t>
  </si>
  <si>
    <t>1.0</t>
  </si>
  <si>
    <t>DISCLAMER: 
This ER/survey tool are designed by GS and in line with the approved methodologies for assisting the Project Developers in conducting the surveys (Baseline Survey, Project Survey, Usage Survey, Water Consumption Field Test, Kitchen Performance Test, Hygiene Survey) and estimating the emission reduction from projects. These tools were updated after the training webinars and the stakeholder consultation process. They are recommended to be used however not mandated and GS is not liable for any discrepancies/errors in the ER calculation.
Given that the public consultation process was closed, GS is still welcoming feedback from PDs during application of these tools. If any issues are identified in the ER calculation sheet, kindly highlight them to Gold Standard by writing at standards@goldstandard.org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</si>
</sst>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0.000"/>
    <numFmt numFmtId="166" formatCode="_-* #,##0.0000_-;\-* #,##0.0000_-;_-* &quot;-&quot;??_-;_-@_-"/>
    <numFmt numFmtId="167" formatCode="_(* #,##0_);_(* \(#,##0\);_(* &quot;-&quot;??_);_(@_)"/>
    <numFmt numFmtId="168" formatCode="[$]dd/mm/yyyy;@" x16r2:formatCode16="[$-en-001,1]dd/mm/yyyy;@"/>
    <numFmt numFmtId="169" formatCode="#,##0.000"/>
    <numFmt numFmtId="170" formatCode="#,##0.0000"/>
    <numFmt numFmtId="171" formatCode="#,##0.000000"/>
  </numFmts>
  <fonts count="32">
    <font>
      <sz val="11"/>
      <color theme="1"/>
      <name val="Arial"/>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Arial"/>
      <family val="2"/>
    </font>
    <font>
      <b/>
      <sz val="11"/>
      <color theme="0"/>
      <name val="Verdana"/>
      <family val="2"/>
      <scheme val="minor"/>
    </font>
    <font>
      <b/>
      <sz val="11"/>
      <color theme="1"/>
      <name val="Verdana"/>
      <family val="2"/>
      <scheme val="minor"/>
    </font>
    <font>
      <sz val="22"/>
      <color theme="1"/>
      <name val="Verdana"/>
      <family val="2"/>
      <scheme val="minor"/>
    </font>
    <font>
      <b/>
      <sz val="11"/>
      <color rgb="FFFFFF00"/>
      <name val="Verdana"/>
      <family val="2"/>
      <scheme val="minor"/>
    </font>
    <font>
      <b/>
      <u/>
      <sz val="11"/>
      <color theme="1"/>
      <name val="Verdana"/>
      <family val="2"/>
      <scheme val="minor"/>
    </font>
    <font>
      <b/>
      <sz val="12"/>
      <color theme="0"/>
      <name val="Calibri"/>
      <family val="2"/>
    </font>
    <font>
      <b/>
      <sz val="12"/>
      <color indexed="8"/>
      <name val="Calibri"/>
      <family val="2"/>
    </font>
    <font>
      <sz val="12"/>
      <color indexed="8"/>
      <name val="Calibri"/>
      <family val="2"/>
    </font>
    <font>
      <sz val="12"/>
      <name val="Calibri"/>
      <family val="2"/>
    </font>
    <font>
      <b/>
      <sz val="11"/>
      <name val="Verdana"/>
      <family val="2"/>
      <scheme val="minor"/>
    </font>
    <font>
      <b/>
      <sz val="12"/>
      <color theme="0"/>
      <name val="Verdana"/>
      <family val="2"/>
      <scheme val="minor"/>
    </font>
    <font>
      <b/>
      <i/>
      <sz val="11"/>
      <color rgb="FFFF0000"/>
      <name val="Verdana"/>
      <family val="2"/>
      <scheme val="minor"/>
    </font>
    <font>
      <b/>
      <sz val="11"/>
      <name val="Arial"/>
      <family val="2"/>
    </font>
    <font>
      <b/>
      <sz val="14"/>
      <color theme="0"/>
      <name val="Arial"/>
      <family val="2"/>
    </font>
    <font>
      <b/>
      <sz val="14"/>
      <color theme="0"/>
      <name val="Verdana"/>
      <family val="2"/>
      <scheme val="minor"/>
    </font>
    <font>
      <sz val="11"/>
      <color theme="0"/>
      <name val="Verdana"/>
      <family val="2"/>
      <scheme val="minor"/>
    </font>
    <font>
      <b/>
      <sz val="18"/>
      <color theme="4"/>
      <name val="Verdana"/>
      <family val="2"/>
      <scheme val="minor"/>
    </font>
    <font>
      <sz val="14"/>
      <color theme="1"/>
      <name val="Verdana (Body)"/>
    </font>
    <font>
      <i/>
      <sz val="11"/>
      <color theme="1"/>
      <name val="Verdana"/>
      <family val="2"/>
      <scheme val="minor"/>
    </font>
    <font>
      <vertAlign val="subscript"/>
      <sz val="11"/>
      <color theme="1"/>
      <name val="Verdana"/>
      <family val="2"/>
      <scheme val="minor"/>
    </font>
    <font>
      <b/>
      <sz val="12"/>
      <color theme="1"/>
      <name val="Verdana"/>
      <family val="2"/>
      <scheme val="minor"/>
    </font>
    <font>
      <sz val="10"/>
      <color rgb="FF4D4D4C"/>
      <name val="Verdana"/>
      <family val="2"/>
      <scheme val="minor"/>
    </font>
    <font>
      <i/>
      <sz val="11"/>
      <color rgb="FF4D4D4C"/>
      <name val="Verdana"/>
      <family val="2"/>
      <scheme val="minor"/>
    </font>
    <font>
      <sz val="11"/>
      <color rgb="FF4D4D4C"/>
      <name val="Verdana"/>
      <family val="2"/>
      <scheme val="minor"/>
    </font>
    <font>
      <sz val="12"/>
      <color theme="1"/>
      <name val="Verdana"/>
      <family val="2"/>
      <scheme val="minor"/>
    </font>
    <font>
      <i/>
      <sz val="10"/>
      <color rgb="FF44546A"/>
      <name val="Verdana"/>
      <family val="2"/>
      <scheme val="minor"/>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rgb="FFA5D7D5"/>
        <bgColor indexed="64"/>
      </patternFill>
    </fill>
    <fill>
      <patternFill patternType="solid">
        <fgColor rgb="FFC9E7E6"/>
        <bgColor indexed="64"/>
      </patternFill>
    </fill>
    <fill>
      <patternFill patternType="solid">
        <fgColor theme="8" tint="0.39997558519241921"/>
        <bgColor indexed="64"/>
      </patternFill>
    </fill>
    <fill>
      <patternFill patternType="solid">
        <fgColor rgb="FF00B9BD"/>
        <bgColor indexed="64"/>
      </patternFill>
    </fill>
    <fill>
      <patternFill patternType="solid">
        <fgColor theme="4"/>
        <bgColor indexed="64"/>
      </patternFill>
    </fill>
    <fill>
      <patternFill patternType="solid">
        <fgColor theme="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rgb="FF006E7A"/>
      </top>
      <bottom style="thin">
        <color rgb="FF006E7A"/>
      </bottom>
      <diagonal/>
    </border>
    <border>
      <left style="medium">
        <color indexed="64"/>
      </left>
      <right/>
      <top/>
      <bottom style="thin">
        <color indexed="64"/>
      </bottom>
      <diagonal/>
    </border>
  </borders>
  <cellStyleXfs count="4">
    <xf numFmtId="0" fontId="0" fillId="0" borderId="0"/>
    <xf numFmtId="164" fontId="5" fillId="0" borderId="0" applyFont="0" applyFill="0" applyBorder="0" applyAlignment="0" applyProtection="0"/>
    <xf numFmtId="0" fontId="4" fillId="0" borderId="0"/>
    <xf numFmtId="0" fontId="3" fillId="0" borderId="0"/>
  </cellStyleXfs>
  <cellXfs count="129">
    <xf numFmtId="0" fontId="0" fillId="0" borderId="0" xfId="0"/>
    <xf numFmtId="0" fontId="4" fillId="0" borderId="0" xfId="2" applyAlignment="1">
      <alignment vertical="center"/>
    </xf>
    <xf numFmtId="0" fontId="8" fillId="0" borderId="0" xfId="2" applyFont="1" applyAlignment="1">
      <alignment vertical="center"/>
    </xf>
    <xf numFmtId="0" fontId="7" fillId="5" borderId="0" xfId="2" applyFont="1" applyFill="1" applyAlignment="1">
      <alignment horizontal="center" vertical="center"/>
    </xf>
    <xf numFmtId="0" fontId="7" fillId="5" borderId="0" xfId="2" applyFont="1" applyFill="1" applyAlignment="1">
      <alignment horizontal="left" vertical="center"/>
    </xf>
    <xf numFmtId="0" fontId="7" fillId="6" borderId="0" xfId="2" applyFont="1" applyFill="1" applyAlignment="1">
      <alignment horizontal="center" vertical="center"/>
    </xf>
    <xf numFmtId="0" fontId="7" fillId="6" borderId="0" xfId="2" applyFont="1" applyFill="1" applyAlignment="1">
      <alignment horizontal="left" vertical="center"/>
    </xf>
    <xf numFmtId="0" fontId="7" fillId="5" borderId="0" xfId="2" quotePrefix="1" applyFont="1" applyFill="1" applyAlignment="1">
      <alignment horizontal="left" vertical="center"/>
    </xf>
    <xf numFmtId="14" fontId="7" fillId="6" borderId="0" xfId="2" applyNumberFormat="1" applyFont="1" applyFill="1" applyAlignment="1">
      <alignment horizontal="left" vertical="center"/>
    </xf>
    <xf numFmtId="0" fontId="14" fillId="6" borderId="0" xfId="2" applyFont="1" applyFill="1" applyAlignment="1">
      <alignment vertical="center"/>
    </xf>
    <xf numFmtId="0" fontId="15" fillId="6" borderId="0" xfId="2" applyFont="1" applyFill="1" applyAlignment="1">
      <alignment horizontal="center" vertical="center"/>
    </xf>
    <xf numFmtId="0" fontId="14" fillId="5" borderId="0" xfId="2" applyFont="1" applyFill="1" applyAlignment="1">
      <alignment vertical="center"/>
    </xf>
    <xf numFmtId="0" fontId="15" fillId="5" borderId="0" xfId="2" applyFont="1" applyFill="1" applyAlignment="1">
      <alignment horizontal="center" vertical="center"/>
    </xf>
    <xf numFmtId="168" fontId="14" fillId="5" borderId="0" xfId="2" applyNumberFormat="1" applyFont="1" applyFill="1" applyAlignment="1">
      <alignment horizontal="left" vertical="center"/>
    </xf>
    <xf numFmtId="0" fontId="14" fillId="6" borderId="0" xfId="2" applyFont="1" applyFill="1" applyAlignment="1">
      <alignment horizontal="left" vertical="center"/>
    </xf>
    <xf numFmtId="0" fontId="4" fillId="0" borderId="0" xfId="2" applyAlignment="1">
      <alignment horizontal="center" vertical="center"/>
    </xf>
    <xf numFmtId="0" fontId="4" fillId="5" borderId="0" xfId="2" applyFill="1" applyAlignment="1">
      <alignment horizontal="center" vertical="center"/>
    </xf>
    <xf numFmtId="14" fontId="4" fillId="5" borderId="0" xfId="2" applyNumberFormat="1" applyFill="1" applyAlignment="1">
      <alignment horizontal="center" vertical="center"/>
    </xf>
    <xf numFmtId="3" fontId="4" fillId="5" borderId="0" xfId="2" applyNumberFormat="1" applyFill="1" applyAlignment="1">
      <alignment horizontal="center" vertical="center"/>
    </xf>
    <xf numFmtId="0" fontId="4" fillId="6" borderId="0" xfId="2" applyFill="1" applyAlignment="1">
      <alignment horizontal="center" vertical="center"/>
    </xf>
    <xf numFmtId="14" fontId="4" fillId="6" borderId="0" xfId="2" applyNumberFormat="1" applyFill="1" applyAlignment="1">
      <alignment horizontal="center" vertical="center"/>
    </xf>
    <xf numFmtId="3" fontId="4" fillId="6" borderId="0" xfId="2" applyNumberFormat="1" applyFill="1" applyAlignment="1">
      <alignment horizontal="center" vertical="center"/>
    </xf>
    <xf numFmtId="14" fontId="4" fillId="0" borderId="0" xfId="2" applyNumberFormat="1" applyAlignment="1">
      <alignment vertical="center"/>
    </xf>
    <xf numFmtId="0" fontId="17" fillId="6" borderId="0" xfId="2" applyFont="1" applyFill="1" applyAlignment="1">
      <alignment horizontal="right" vertical="center"/>
    </xf>
    <xf numFmtId="0" fontId="3" fillId="0" borderId="0" xfId="3" applyAlignment="1">
      <alignment vertical="center"/>
    </xf>
    <xf numFmtId="0" fontId="20" fillId="8" borderId="2" xfId="2" applyFont="1" applyFill="1" applyBorder="1" applyAlignment="1">
      <alignment horizontal="center" vertical="center"/>
    </xf>
    <xf numFmtId="0" fontId="19" fillId="8" borderId="3" xfId="0" applyFont="1" applyFill="1" applyBorder="1" applyAlignment="1">
      <alignment vertical="center"/>
    </xf>
    <xf numFmtId="0" fontId="11" fillId="8" borderId="0" xfId="2" applyFont="1" applyFill="1" applyAlignment="1">
      <alignment vertical="center"/>
    </xf>
    <xf numFmtId="0" fontId="12" fillId="8" borderId="0" xfId="2" applyFont="1" applyFill="1" applyAlignment="1">
      <alignment vertical="center"/>
    </xf>
    <xf numFmtId="0" fontId="13" fillId="8" borderId="0" xfId="2" applyFont="1" applyFill="1" applyAlignment="1">
      <alignment vertical="center"/>
    </xf>
    <xf numFmtId="0" fontId="7" fillId="8" borderId="0" xfId="2" applyFont="1" applyFill="1" applyAlignment="1">
      <alignment horizontal="center" vertical="center"/>
    </xf>
    <xf numFmtId="0" fontId="16" fillId="8" borderId="0" xfId="2" applyFont="1" applyFill="1" applyAlignment="1">
      <alignment vertical="center"/>
    </xf>
    <xf numFmtId="0" fontId="0" fillId="0" borderId="0" xfId="0" applyAlignment="1">
      <alignment vertical="center"/>
    </xf>
    <xf numFmtId="0" fontId="22" fillId="0" borderId="0" xfId="0" applyFont="1" applyAlignment="1">
      <alignment vertical="center"/>
    </xf>
    <xf numFmtId="0" fontId="23" fillId="0" borderId="0" xfId="0" applyFont="1" applyAlignment="1">
      <alignment vertical="center"/>
    </xf>
    <xf numFmtId="0" fontId="6" fillId="9" borderId="0" xfId="2" applyFont="1" applyFill="1" applyAlignment="1">
      <alignment horizontal="center" vertical="center"/>
    </xf>
    <xf numFmtId="0" fontId="6" fillId="9" borderId="0" xfId="2" applyFont="1" applyFill="1" applyAlignment="1">
      <alignment horizontal="center" vertical="center" wrapText="1"/>
    </xf>
    <xf numFmtId="0" fontId="6" fillId="9" borderId="0" xfId="2" applyFont="1" applyFill="1" applyAlignment="1">
      <alignment vertical="center"/>
    </xf>
    <xf numFmtId="3" fontId="6" fillId="9" borderId="0" xfId="2" applyNumberFormat="1" applyFont="1" applyFill="1" applyAlignment="1">
      <alignment horizontal="center" vertical="center"/>
    </xf>
    <xf numFmtId="0" fontId="6" fillId="8" borderId="0" xfId="0" applyFont="1" applyFill="1" applyAlignment="1">
      <alignment vertical="center"/>
    </xf>
    <xf numFmtId="0" fontId="21" fillId="0" borderId="0" xfId="0" applyFont="1"/>
    <xf numFmtId="0" fontId="2" fillId="4" borderId="0" xfId="0" applyFont="1" applyFill="1" applyAlignment="1">
      <alignment vertical="center"/>
    </xf>
    <xf numFmtId="0" fontId="2" fillId="0" borderId="0" xfId="0" applyFont="1"/>
    <xf numFmtId="0" fontId="2" fillId="0" borderId="0" xfId="0" applyFont="1" applyAlignment="1">
      <alignment vertical="center"/>
    </xf>
    <xf numFmtId="0" fontId="2" fillId="3" borderId="0" xfId="0" applyFont="1" applyFill="1" applyAlignment="1">
      <alignment vertical="center"/>
    </xf>
    <xf numFmtId="0" fontId="2" fillId="0" borderId="0" xfId="0" applyFont="1" applyAlignment="1">
      <alignment vertical="center" wrapText="1"/>
    </xf>
    <xf numFmtId="0" fontId="24" fillId="0" borderId="0" xfId="0" applyFont="1" applyAlignment="1">
      <alignment vertical="center" wrapText="1"/>
    </xf>
    <xf numFmtId="164" fontId="2" fillId="0" borderId="0" xfId="0" applyNumberFormat="1" applyFont="1" applyAlignment="1">
      <alignment vertical="center"/>
    </xf>
    <xf numFmtId="164" fontId="7" fillId="10" borderId="0" xfId="0" applyNumberFormat="1" applyFont="1" applyFill="1" applyAlignment="1">
      <alignment vertical="center"/>
    </xf>
    <xf numFmtId="0" fontId="2" fillId="3" borderId="0" xfId="0" applyFont="1" applyFill="1" applyAlignment="1">
      <alignment horizontal="left" vertical="center" wrapText="1"/>
    </xf>
    <xf numFmtId="0" fontId="2" fillId="3" borderId="0" xfId="0" applyFont="1" applyFill="1" applyAlignment="1">
      <alignment horizontal="left" vertical="center"/>
    </xf>
    <xf numFmtId="0" fontId="2" fillId="0" borderId="0" xfId="0" applyFont="1" applyAlignment="1">
      <alignment horizontal="right" vertical="center"/>
    </xf>
    <xf numFmtId="164" fontId="2" fillId="10" borderId="0" xfId="1" applyFont="1" applyFill="1" applyBorder="1" applyAlignment="1">
      <alignment horizontal="right" vertical="center" wrapText="1"/>
    </xf>
    <xf numFmtId="0" fontId="2" fillId="3" borderId="0" xfId="0" applyFont="1" applyFill="1" applyAlignment="1">
      <alignment vertical="center" wrapText="1"/>
    </xf>
    <xf numFmtId="164" fontId="2" fillId="3" borderId="0" xfId="1" applyFont="1" applyFill="1" applyBorder="1" applyAlignment="1">
      <alignment horizontal="right" vertical="center" wrapText="1"/>
    </xf>
    <xf numFmtId="0" fontId="2" fillId="3" borderId="0" xfId="0" applyFont="1" applyFill="1" applyAlignment="1">
      <alignment horizontal="justify" vertical="center" wrapText="1"/>
    </xf>
    <xf numFmtId="0" fontId="24" fillId="0" borderId="0" xfId="0" applyFont="1" applyAlignment="1">
      <alignment vertical="center"/>
    </xf>
    <xf numFmtId="165" fontId="7" fillId="10" borderId="0" xfId="0" applyNumberFormat="1" applyFont="1" applyFill="1" applyAlignment="1">
      <alignment vertical="center"/>
    </xf>
    <xf numFmtId="0" fontId="7" fillId="0" borderId="0" xfId="0" applyFont="1" applyAlignment="1">
      <alignment vertical="center"/>
    </xf>
    <xf numFmtId="0" fontId="2" fillId="10" borderId="0" xfId="0" applyFont="1" applyFill="1" applyAlignment="1">
      <alignment vertical="center"/>
    </xf>
    <xf numFmtId="164" fontId="2" fillId="10" borderId="0" xfId="0" applyNumberFormat="1" applyFont="1" applyFill="1" applyAlignment="1">
      <alignment vertical="center"/>
    </xf>
    <xf numFmtId="0" fontId="7" fillId="7" borderId="0" xfId="0" applyFont="1" applyFill="1"/>
    <xf numFmtId="0" fontId="26" fillId="7" borderId="0" xfId="0" applyFont="1" applyFill="1"/>
    <xf numFmtId="0" fontId="2" fillId="7" borderId="0" xfId="0" applyFont="1" applyFill="1"/>
    <xf numFmtId="0" fontId="2" fillId="0" borderId="0" xfId="0" applyFont="1" applyAlignment="1">
      <alignment horizontal="left" vertical="center"/>
    </xf>
    <xf numFmtId="0" fontId="2" fillId="0" borderId="0" xfId="0" applyFont="1" applyAlignment="1">
      <alignment horizontal="center" vertical="center" wrapText="1"/>
    </xf>
    <xf numFmtId="0" fontId="27" fillId="0" borderId="0" xfId="0" applyFont="1" applyAlignment="1">
      <alignment vertical="center"/>
    </xf>
    <xf numFmtId="0" fontId="28" fillId="0" borderId="0" xfId="0" applyFont="1" applyAlignment="1">
      <alignment vertical="center" wrapText="1"/>
    </xf>
    <xf numFmtId="0" fontId="29" fillId="0" borderId="0" xfId="0" applyFont="1" applyAlignment="1">
      <alignment vertical="center" wrapText="1"/>
    </xf>
    <xf numFmtId="0" fontId="29" fillId="0" borderId="0" xfId="0" applyFont="1" applyAlignment="1">
      <alignment vertical="center"/>
    </xf>
    <xf numFmtId="0" fontId="7" fillId="4" borderId="0" xfId="0" applyFont="1" applyFill="1"/>
    <xf numFmtId="0" fontId="2" fillId="4" borderId="0" xfId="0" applyFont="1" applyFill="1"/>
    <xf numFmtId="0" fontId="2" fillId="4" borderId="0" xfId="0" applyFont="1" applyFill="1" applyAlignment="1">
      <alignment horizontal="center"/>
    </xf>
    <xf numFmtId="0" fontId="7" fillId="3" borderId="0" xfId="0" applyFont="1" applyFill="1"/>
    <xf numFmtId="0" fontId="2" fillId="3" borderId="0" xfId="0" applyFont="1" applyFill="1"/>
    <xf numFmtId="0" fontId="2" fillId="3" borderId="0" xfId="0" applyFont="1" applyFill="1" applyAlignment="1">
      <alignment horizontal="center" vertical="center"/>
    </xf>
    <xf numFmtId="0" fontId="21" fillId="8" borderId="0" xfId="0" applyFont="1" applyFill="1"/>
    <xf numFmtId="0" fontId="21" fillId="8" borderId="0" xfId="0" applyFont="1" applyFill="1" applyAlignment="1">
      <alignment horizontal="center"/>
    </xf>
    <xf numFmtId="0" fontId="30" fillId="3" borderId="0" xfId="0" applyFont="1" applyFill="1" applyAlignment="1">
      <alignment vertical="center"/>
    </xf>
    <xf numFmtId="0" fontId="21" fillId="8" borderId="1" xfId="0" applyFont="1" applyFill="1" applyBorder="1"/>
    <xf numFmtId="0" fontId="21" fillId="8" borderId="1" xfId="0" applyFont="1" applyFill="1" applyBorder="1" applyAlignment="1">
      <alignment horizontal="center"/>
    </xf>
    <xf numFmtId="14" fontId="2" fillId="6" borderId="1" xfId="1" applyNumberFormat="1" applyFont="1" applyFill="1" applyBorder="1" applyAlignment="1">
      <alignment horizontal="center" vertical="center"/>
    </xf>
    <xf numFmtId="14" fontId="2" fillId="0" borderId="0" xfId="0" applyNumberFormat="1" applyFont="1"/>
    <xf numFmtId="0" fontId="7" fillId="3" borderId="0" xfId="0" applyFont="1" applyFill="1" applyAlignment="1">
      <alignment vertical="center" wrapText="1"/>
    </xf>
    <xf numFmtId="0" fontId="7" fillId="3" borderId="0" xfId="0" applyFont="1" applyFill="1" applyAlignment="1">
      <alignment horizontal="center" vertical="center" wrapText="1"/>
    </xf>
    <xf numFmtId="0" fontId="2" fillId="3" borderId="0" xfId="0" applyFont="1" applyFill="1" applyAlignment="1">
      <alignment horizontal="center" vertical="center" wrapText="1"/>
    </xf>
    <xf numFmtId="164" fontId="2" fillId="3" borderId="0" xfId="0" applyNumberFormat="1" applyFont="1" applyFill="1" applyAlignment="1">
      <alignment horizontal="center" vertical="center" wrapText="1"/>
    </xf>
    <xf numFmtId="9" fontId="2" fillId="3" borderId="0" xfId="0" applyNumberFormat="1" applyFont="1" applyFill="1" applyAlignment="1">
      <alignment horizontal="center" vertical="center" wrapText="1"/>
    </xf>
    <xf numFmtId="0" fontId="31" fillId="3" borderId="0" xfId="0" applyFont="1" applyFill="1" applyAlignment="1">
      <alignment horizontal="center" vertical="center"/>
    </xf>
    <xf numFmtId="165" fontId="2" fillId="3" borderId="0" xfId="0" applyNumberFormat="1" applyFont="1" applyFill="1"/>
    <xf numFmtId="0" fontId="26" fillId="0" borderId="0" xfId="0" applyFont="1" applyAlignment="1">
      <alignment vertical="center"/>
    </xf>
    <xf numFmtId="0" fontId="30" fillId="0" borderId="0" xfId="0" applyFont="1" applyAlignment="1">
      <alignment vertical="center"/>
    </xf>
    <xf numFmtId="0" fontId="7"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horizontal="center"/>
    </xf>
    <xf numFmtId="170" fontId="7" fillId="10" borderId="0" xfId="0" applyNumberFormat="1" applyFont="1" applyFill="1" applyAlignment="1">
      <alignment vertical="center"/>
    </xf>
    <xf numFmtId="171" fontId="2" fillId="10" borderId="0" xfId="0" applyNumberFormat="1" applyFont="1" applyFill="1" applyAlignment="1">
      <alignment vertical="center"/>
    </xf>
    <xf numFmtId="4" fontId="2" fillId="10" borderId="0" xfId="0" applyNumberFormat="1" applyFont="1" applyFill="1" applyAlignment="1">
      <alignment vertical="center" wrapText="1"/>
    </xf>
    <xf numFmtId="0" fontId="2" fillId="10" borderId="0" xfId="0" applyFont="1" applyFill="1" applyAlignment="1">
      <alignment vertical="center" wrapText="1"/>
    </xf>
    <xf numFmtId="9" fontId="2" fillId="10" borderId="0" xfId="0" applyNumberFormat="1" applyFont="1" applyFill="1" applyAlignment="1">
      <alignment vertical="center"/>
    </xf>
    <xf numFmtId="4" fontId="2" fillId="10" borderId="0" xfId="0" applyNumberFormat="1" applyFont="1" applyFill="1" applyAlignment="1">
      <alignment vertical="center"/>
    </xf>
    <xf numFmtId="4" fontId="7" fillId="10" borderId="0" xfId="0" applyNumberFormat="1" applyFont="1" applyFill="1" applyAlignment="1">
      <alignment vertical="center"/>
    </xf>
    <xf numFmtId="4" fontId="2" fillId="10" borderId="0" xfId="0" applyNumberFormat="1" applyFont="1" applyFill="1" applyAlignment="1">
      <alignment horizontal="center"/>
    </xf>
    <xf numFmtId="4" fontId="2" fillId="10" borderId="0" xfId="1" applyNumberFormat="1" applyFont="1" applyFill="1" applyAlignment="1">
      <alignment horizontal="center"/>
    </xf>
    <xf numFmtId="167" fontId="2" fillId="10" borderId="0" xfId="0" applyNumberFormat="1" applyFont="1" applyFill="1"/>
    <xf numFmtId="15" fontId="21" fillId="9" borderId="1" xfId="0" applyNumberFormat="1" applyFont="1" applyFill="1" applyBorder="1"/>
    <xf numFmtId="0" fontId="21" fillId="9" borderId="0" xfId="0" applyFont="1" applyFill="1"/>
    <xf numFmtId="167" fontId="21" fillId="9" borderId="0" xfId="0" applyNumberFormat="1" applyFont="1" applyFill="1"/>
    <xf numFmtId="0" fontId="21" fillId="9" borderId="0" xfId="0" applyFont="1" applyFill="1" applyAlignment="1">
      <alignment horizontal="center"/>
    </xf>
    <xf numFmtId="0" fontId="2" fillId="0" borderId="0" xfId="0" applyFont="1" applyAlignment="1">
      <alignment vertical="center"/>
    </xf>
    <xf numFmtId="0" fontId="14" fillId="2" borderId="0" xfId="2" applyFont="1" applyFill="1" applyAlignment="1" applyProtection="1">
      <alignment horizontal="left" vertical="center"/>
      <protection locked="0"/>
    </xf>
    <xf numFmtId="0" fontId="14" fillId="2" borderId="0" xfId="2" applyFont="1" applyFill="1" applyAlignment="1" applyProtection="1">
      <alignment vertical="center"/>
      <protection locked="0"/>
    </xf>
    <xf numFmtId="14" fontId="14" fillId="2" borderId="0" xfId="2" applyNumberFormat="1" applyFont="1" applyFill="1" applyAlignment="1" applyProtection="1">
      <alignment horizontal="left" vertical="center"/>
      <protection locked="0"/>
    </xf>
    <xf numFmtId="4" fontId="18" fillId="2" borderId="0" xfId="0" applyNumberFormat="1" applyFont="1" applyFill="1" applyAlignment="1" applyProtection="1">
      <alignment horizontal="left" vertical="center"/>
      <protection locked="0"/>
    </xf>
    <xf numFmtId="0" fontId="2" fillId="2" borderId="0" xfId="0" applyFont="1" applyFill="1" applyAlignment="1" applyProtection="1">
      <alignment vertical="center"/>
      <protection locked="0"/>
    </xf>
    <xf numFmtId="164" fontId="2" fillId="2" borderId="0" xfId="1" applyFont="1" applyFill="1" applyBorder="1" applyAlignment="1" applyProtection="1">
      <alignment horizontal="right" vertical="center" wrapText="1"/>
      <protection locked="0"/>
    </xf>
    <xf numFmtId="166" fontId="2" fillId="2" borderId="0" xfId="1" applyNumberFormat="1" applyFont="1" applyFill="1" applyBorder="1" applyAlignment="1" applyProtection="1">
      <alignment horizontal="right" vertical="center" wrapText="1"/>
      <protection locked="0"/>
    </xf>
    <xf numFmtId="9" fontId="2" fillId="2" borderId="0" xfId="0" applyNumberFormat="1" applyFont="1" applyFill="1" applyAlignment="1" applyProtection="1">
      <alignment vertical="center"/>
      <protection locked="0"/>
    </xf>
    <xf numFmtId="0" fontId="2" fillId="2" borderId="0" xfId="0" applyFont="1" applyFill="1" applyAlignment="1" applyProtection="1">
      <alignment vertical="center" wrapText="1"/>
      <protection locked="0"/>
    </xf>
    <xf numFmtId="9" fontId="2" fillId="2" borderId="0" xfId="0" applyNumberFormat="1" applyFont="1" applyFill="1" applyAlignment="1" applyProtection="1">
      <alignment vertical="center" wrapText="1"/>
      <protection locked="0"/>
    </xf>
    <xf numFmtId="169" fontId="2" fillId="2" borderId="0" xfId="0" applyNumberFormat="1" applyFont="1" applyFill="1" applyAlignment="1" applyProtection="1">
      <alignment vertical="center" wrapText="1"/>
      <protection locked="0"/>
    </xf>
    <xf numFmtId="167" fontId="2" fillId="2" borderId="1" xfId="1" applyNumberFormat="1" applyFont="1" applyFill="1" applyBorder="1" applyProtection="1">
      <protection locked="0"/>
    </xf>
    <xf numFmtId="9" fontId="2" fillId="2" borderId="0" xfId="0" applyNumberFormat="1" applyFont="1" applyFill="1" applyProtection="1">
      <protection locked="0"/>
    </xf>
    <xf numFmtId="0" fontId="4" fillId="5" borderId="0" xfId="2" quotePrefix="1" applyFill="1" applyAlignment="1">
      <alignment horizontal="left" vertical="center" wrapText="1"/>
    </xf>
    <xf numFmtId="0" fontId="14" fillId="5" borderId="0" xfId="0" applyFont="1" applyFill="1" applyAlignment="1">
      <alignment horizontal="left" vertical="center" wrapText="1"/>
    </xf>
    <xf numFmtId="0" fontId="2" fillId="0" borderId="0" xfId="0" applyFont="1" applyAlignment="1">
      <alignment vertical="center"/>
    </xf>
    <xf numFmtId="0" fontId="24" fillId="0" borderId="0" xfId="0" applyFont="1" applyAlignment="1">
      <alignment vertical="center"/>
    </xf>
    <xf numFmtId="0" fontId="21" fillId="8" borderId="1" xfId="0" applyFont="1" applyFill="1" applyBorder="1" applyAlignment="1">
      <alignment horizontal="center"/>
    </xf>
    <xf numFmtId="0" fontId="24" fillId="0" borderId="0" xfId="0" applyFont="1" applyAlignment="1">
      <alignment horizontal="left" wrapText="1"/>
    </xf>
  </cellXfs>
  <cellStyles count="4">
    <cellStyle name="Comma" xfId="1" builtinId="3"/>
    <cellStyle name="Normal" xfId="0" builtinId="0"/>
    <cellStyle name="Normal 2" xfId="2" xr:uid="{DC2DBD19-26D5-4EDE-B08F-65E0C712DB89}"/>
    <cellStyle name="Normal 3" xfId="3" xr:uid="{55D6E64D-7C84-40FE-8D8A-1A3FD38F2431}"/>
  </cellStyles>
  <dxfs count="1">
    <dxf>
      <font>
        <b val="0"/>
        <i/>
        <strike/>
      </font>
    </dxf>
  </dxfs>
  <tableStyles count="0" defaultTableStyle="TableStyleMedium2" defaultPivotStyle="PivotStyleLight16"/>
  <colors>
    <mruColors>
      <color rgb="FF00B9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860892D5-72DD-4098-9518-66FD1C91458E}" type="doc">
      <dgm:prSet loTypeId="urn:microsoft.com/office/officeart/2005/8/layout/list1" loCatId="list" qsTypeId="urn:microsoft.com/office/officeart/2005/8/quickstyle/simple1" qsCatId="simple" csTypeId="urn:microsoft.com/office/officeart/2005/8/colors/accent1_2" csCatId="accent1" phldr="1"/>
      <dgm:spPr/>
      <dgm:t>
        <a:bodyPr/>
        <a:lstStyle/>
        <a:p>
          <a:endParaRPr lang="en-US"/>
        </a:p>
      </dgm:t>
    </dgm:pt>
    <dgm:pt modelId="{F46B16D8-D2D0-4F9D-A307-AA669472EC21}">
      <dgm:prSet phldrT="[Text]"/>
      <dgm:spPr/>
      <dgm:t>
        <a:bodyPr/>
        <a:lstStyle/>
        <a:p>
          <a:r>
            <a:rPr lang="en-US"/>
            <a:t>Step -1</a:t>
          </a:r>
        </a:p>
      </dgm:t>
    </dgm:pt>
    <dgm:pt modelId="{7C414980-0EDE-4EEF-841A-DE211DA93EBA}" type="parTrans" cxnId="{3EE75E4F-74B9-45D0-8FCE-2D64896BAAC0}">
      <dgm:prSet/>
      <dgm:spPr/>
      <dgm:t>
        <a:bodyPr/>
        <a:lstStyle/>
        <a:p>
          <a:endParaRPr lang="en-US"/>
        </a:p>
      </dgm:t>
    </dgm:pt>
    <dgm:pt modelId="{CEADBD19-631A-4331-B991-3E6B4B7E11A4}" type="sibTrans" cxnId="{3EE75E4F-74B9-45D0-8FCE-2D64896BAAC0}">
      <dgm:prSet/>
      <dgm:spPr/>
      <dgm:t>
        <a:bodyPr/>
        <a:lstStyle/>
        <a:p>
          <a:endParaRPr lang="en-US"/>
        </a:p>
      </dgm:t>
    </dgm:pt>
    <dgm:pt modelId="{F6440101-1D15-432E-9374-BEBB392AC887}">
      <dgm:prSet phldrT="[Text]"/>
      <dgm:spPr/>
      <dgm:t>
        <a:bodyPr/>
        <a:lstStyle/>
        <a:p>
          <a:r>
            <a:rPr lang="en-US"/>
            <a:t>As per the selected Method, the user should fill information for input parameters &amp; choose the fuel type on this sheet and tab  "BE", "PE" and "LE" in Yello cells only.</a:t>
          </a:r>
        </a:p>
      </dgm:t>
    </dgm:pt>
    <dgm:pt modelId="{F5CA1A36-D272-4C72-91CE-616F55221D3D}" type="parTrans" cxnId="{9DC60196-71BF-49C9-87F9-10F40E7EE007}">
      <dgm:prSet/>
      <dgm:spPr/>
      <dgm:t>
        <a:bodyPr/>
        <a:lstStyle/>
        <a:p>
          <a:endParaRPr lang="en-US"/>
        </a:p>
      </dgm:t>
    </dgm:pt>
    <dgm:pt modelId="{AC2B9334-17BF-40CC-8622-96D4FA853F42}" type="sibTrans" cxnId="{9DC60196-71BF-49C9-87F9-10F40E7EE007}">
      <dgm:prSet/>
      <dgm:spPr/>
      <dgm:t>
        <a:bodyPr/>
        <a:lstStyle/>
        <a:p>
          <a:endParaRPr lang="en-US"/>
        </a:p>
      </dgm:t>
    </dgm:pt>
    <dgm:pt modelId="{E10F032F-3330-4288-A39C-83609737DE48}">
      <dgm:prSet phldrT="[Text]"/>
      <dgm:spPr/>
      <dgm:t>
        <a:bodyPr/>
        <a:lstStyle/>
        <a:p>
          <a:r>
            <a:rPr lang="en-US"/>
            <a:t>Step -2</a:t>
          </a:r>
        </a:p>
      </dgm:t>
    </dgm:pt>
    <dgm:pt modelId="{A3C2824E-1DA5-4C28-8D9C-F68DFC598799}" type="parTrans" cxnId="{06CFC7BE-5DF8-48D6-9977-A8FCE0AAB7E0}">
      <dgm:prSet/>
      <dgm:spPr/>
      <dgm:t>
        <a:bodyPr/>
        <a:lstStyle/>
        <a:p>
          <a:endParaRPr lang="en-US"/>
        </a:p>
      </dgm:t>
    </dgm:pt>
    <dgm:pt modelId="{E3222BC4-80F2-460B-971B-C05D96757C8F}" type="sibTrans" cxnId="{06CFC7BE-5DF8-48D6-9977-A8FCE0AAB7E0}">
      <dgm:prSet/>
      <dgm:spPr/>
      <dgm:t>
        <a:bodyPr/>
        <a:lstStyle/>
        <a:p>
          <a:endParaRPr lang="en-US"/>
        </a:p>
      </dgm:t>
    </dgm:pt>
    <dgm:pt modelId="{4EC2CE2B-9AE0-433F-9C3F-5A4328BAB414}">
      <dgm:prSet phldrT="[Text]"/>
      <dgm:spPr/>
      <dgm:t>
        <a:bodyPr/>
        <a:lstStyle/>
        <a:p>
          <a:r>
            <a:rPr lang="en-US"/>
            <a:t>The user should fill information as per distribution plan and usage rates (expected or monitored) in tab "ER"</a:t>
          </a:r>
        </a:p>
      </dgm:t>
    </dgm:pt>
    <dgm:pt modelId="{52A82914-9405-4671-BCAF-701E515F0BA6}" type="parTrans" cxnId="{F74BB957-D717-4D76-A24B-9A6AFD87DFFE}">
      <dgm:prSet/>
      <dgm:spPr/>
      <dgm:t>
        <a:bodyPr/>
        <a:lstStyle/>
        <a:p>
          <a:endParaRPr lang="en-US"/>
        </a:p>
      </dgm:t>
    </dgm:pt>
    <dgm:pt modelId="{16227338-E435-4A5B-81F2-137621C51CDD}" type="sibTrans" cxnId="{F74BB957-D717-4D76-A24B-9A6AFD87DFFE}">
      <dgm:prSet/>
      <dgm:spPr/>
      <dgm:t>
        <a:bodyPr/>
        <a:lstStyle/>
        <a:p>
          <a:endParaRPr lang="en-US"/>
        </a:p>
      </dgm:t>
    </dgm:pt>
    <dgm:pt modelId="{F6B93DAA-D12B-411E-8194-57F011B544FE}">
      <dgm:prSet phldrT="[Text]"/>
      <dgm:spPr/>
      <dgm:t>
        <a:bodyPr/>
        <a:lstStyle/>
        <a:p>
          <a:r>
            <a:rPr lang="en-US"/>
            <a:t>Step -3</a:t>
          </a:r>
        </a:p>
      </dgm:t>
    </dgm:pt>
    <dgm:pt modelId="{6E947E60-75AE-47E9-82A7-7BE1D0CB52A2}" type="parTrans" cxnId="{3CF66AC1-A47D-41FF-AB7C-D3ECA7D5DF6A}">
      <dgm:prSet/>
      <dgm:spPr/>
      <dgm:t>
        <a:bodyPr/>
        <a:lstStyle/>
        <a:p>
          <a:endParaRPr lang="en-US"/>
        </a:p>
      </dgm:t>
    </dgm:pt>
    <dgm:pt modelId="{B40BA91D-F782-450F-87FF-5381B7D2ADE6}" type="sibTrans" cxnId="{3CF66AC1-A47D-41FF-AB7C-D3ECA7D5DF6A}">
      <dgm:prSet/>
      <dgm:spPr/>
      <dgm:t>
        <a:bodyPr/>
        <a:lstStyle/>
        <a:p>
          <a:endParaRPr lang="en-US"/>
        </a:p>
      </dgm:t>
    </dgm:pt>
    <dgm:pt modelId="{30399817-FD6E-4E09-B209-D9808FFA1CE2}">
      <dgm:prSet phldrT="[Text]"/>
      <dgm:spPr/>
      <dgm:t>
        <a:bodyPr/>
        <a:lstStyle/>
        <a:p>
          <a:r>
            <a:rPr lang="en-US"/>
            <a:t>Check the emission reduction in "cover" worksheet.</a:t>
          </a:r>
        </a:p>
      </dgm:t>
    </dgm:pt>
    <dgm:pt modelId="{6D010777-5349-4219-8A54-7CA0ED57EF8A}" type="parTrans" cxnId="{4D56FE15-A089-4E4F-A2E1-055E354E2548}">
      <dgm:prSet/>
      <dgm:spPr/>
      <dgm:t>
        <a:bodyPr/>
        <a:lstStyle/>
        <a:p>
          <a:endParaRPr lang="en-US"/>
        </a:p>
      </dgm:t>
    </dgm:pt>
    <dgm:pt modelId="{AAD7B832-D15A-475C-A226-F4F2FABBD294}" type="sibTrans" cxnId="{4D56FE15-A089-4E4F-A2E1-055E354E2548}">
      <dgm:prSet/>
      <dgm:spPr/>
      <dgm:t>
        <a:bodyPr/>
        <a:lstStyle/>
        <a:p>
          <a:endParaRPr lang="en-US"/>
        </a:p>
      </dgm:t>
    </dgm:pt>
    <dgm:pt modelId="{E8DF7CE2-9867-4FDF-8282-5A7B1F9F13B4}" type="pres">
      <dgm:prSet presAssocID="{860892D5-72DD-4098-9518-66FD1C91458E}" presName="linear" presStyleCnt="0">
        <dgm:presLayoutVars>
          <dgm:dir/>
          <dgm:animLvl val="lvl"/>
          <dgm:resizeHandles val="exact"/>
        </dgm:presLayoutVars>
      </dgm:prSet>
      <dgm:spPr/>
    </dgm:pt>
    <dgm:pt modelId="{9BD33E61-4692-419A-90D3-B75C9635EAE4}" type="pres">
      <dgm:prSet presAssocID="{F46B16D8-D2D0-4F9D-A307-AA669472EC21}" presName="parentLin" presStyleCnt="0"/>
      <dgm:spPr/>
    </dgm:pt>
    <dgm:pt modelId="{9BF678F2-34C8-49B2-88C0-7A828169ACB1}" type="pres">
      <dgm:prSet presAssocID="{F46B16D8-D2D0-4F9D-A307-AA669472EC21}" presName="parentLeftMargin" presStyleLbl="node1" presStyleIdx="0" presStyleCnt="3"/>
      <dgm:spPr/>
    </dgm:pt>
    <dgm:pt modelId="{86B28F63-C9F9-4C57-9222-2E8761C64A60}" type="pres">
      <dgm:prSet presAssocID="{F46B16D8-D2D0-4F9D-A307-AA669472EC21}" presName="parentText" presStyleLbl="node1" presStyleIdx="0" presStyleCnt="3">
        <dgm:presLayoutVars>
          <dgm:chMax val="0"/>
          <dgm:bulletEnabled val="1"/>
        </dgm:presLayoutVars>
      </dgm:prSet>
      <dgm:spPr/>
    </dgm:pt>
    <dgm:pt modelId="{CBA857D5-3F4B-44FF-A113-1951B9CABFDD}" type="pres">
      <dgm:prSet presAssocID="{F46B16D8-D2D0-4F9D-A307-AA669472EC21}" presName="negativeSpace" presStyleCnt="0"/>
      <dgm:spPr/>
    </dgm:pt>
    <dgm:pt modelId="{0854AD05-5736-4FEE-AAFF-5DA4F567639F}" type="pres">
      <dgm:prSet presAssocID="{F46B16D8-D2D0-4F9D-A307-AA669472EC21}" presName="childText" presStyleLbl="conFgAcc1" presStyleIdx="0" presStyleCnt="3">
        <dgm:presLayoutVars>
          <dgm:bulletEnabled val="1"/>
        </dgm:presLayoutVars>
      </dgm:prSet>
      <dgm:spPr/>
    </dgm:pt>
    <dgm:pt modelId="{49AF8832-0517-4E94-8C83-1F8DF6F0D142}" type="pres">
      <dgm:prSet presAssocID="{CEADBD19-631A-4331-B991-3E6B4B7E11A4}" presName="spaceBetweenRectangles" presStyleCnt="0"/>
      <dgm:spPr/>
    </dgm:pt>
    <dgm:pt modelId="{7C320C6D-C07B-4AD5-B4F8-BA98E53F8C8F}" type="pres">
      <dgm:prSet presAssocID="{E10F032F-3330-4288-A39C-83609737DE48}" presName="parentLin" presStyleCnt="0"/>
      <dgm:spPr/>
    </dgm:pt>
    <dgm:pt modelId="{FC4C7898-9CE6-4BD3-B248-3CABB72547E3}" type="pres">
      <dgm:prSet presAssocID="{E10F032F-3330-4288-A39C-83609737DE48}" presName="parentLeftMargin" presStyleLbl="node1" presStyleIdx="0" presStyleCnt="3"/>
      <dgm:spPr/>
    </dgm:pt>
    <dgm:pt modelId="{452866BB-7CB3-4207-9EF2-8199596F59EC}" type="pres">
      <dgm:prSet presAssocID="{E10F032F-3330-4288-A39C-83609737DE48}" presName="parentText" presStyleLbl="node1" presStyleIdx="1" presStyleCnt="3">
        <dgm:presLayoutVars>
          <dgm:chMax val="0"/>
          <dgm:bulletEnabled val="1"/>
        </dgm:presLayoutVars>
      </dgm:prSet>
      <dgm:spPr/>
    </dgm:pt>
    <dgm:pt modelId="{FDE89F22-9E34-4FFB-A88A-414C2A672D1B}" type="pres">
      <dgm:prSet presAssocID="{E10F032F-3330-4288-A39C-83609737DE48}" presName="negativeSpace" presStyleCnt="0"/>
      <dgm:spPr/>
    </dgm:pt>
    <dgm:pt modelId="{5E43BA30-02AD-419F-A730-FFFA3B000C81}" type="pres">
      <dgm:prSet presAssocID="{E10F032F-3330-4288-A39C-83609737DE48}" presName="childText" presStyleLbl="conFgAcc1" presStyleIdx="1" presStyleCnt="3">
        <dgm:presLayoutVars>
          <dgm:bulletEnabled val="1"/>
        </dgm:presLayoutVars>
      </dgm:prSet>
      <dgm:spPr/>
    </dgm:pt>
    <dgm:pt modelId="{6C6BAFF6-F9B7-45C3-AFA2-312133B49A98}" type="pres">
      <dgm:prSet presAssocID="{E3222BC4-80F2-460B-971B-C05D96757C8F}" presName="spaceBetweenRectangles" presStyleCnt="0"/>
      <dgm:spPr/>
    </dgm:pt>
    <dgm:pt modelId="{113E9126-BB98-4400-BBC2-A82803793E2E}" type="pres">
      <dgm:prSet presAssocID="{F6B93DAA-D12B-411E-8194-57F011B544FE}" presName="parentLin" presStyleCnt="0"/>
      <dgm:spPr/>
    </dgm:pt>
    <dgm:pt modelId="{F82092BA-92D6-4542-9A8C-C6227B9CFA8B}" type="pres">
      <dgm:prSet presAssocID="{F6B93DAA-D12B-411E-8194-57F011B544FE}" presName="parentLeftMargin" presStyleLbl="node1" presStyleIdx="1" presStyleCnt="3"/>
      <dgm:spPr/>
    </dgm:pt>
    <dgm:pt modelId="{D6245106-561F-4FAF-8078-7592D1ABF5B2}" type="pres">
      <dgm:prSet presAssocID="{F6B93DAA-D12B-411E-8194-57F011B544FE}" presName="parentText" presStyleLbl="node1" presStyleIdx="2" presStyleCnt="3">
        <dgm:presLayoutVars>
          <dgm:chMax val="0"/>
          <dgm:bulletEnabled val="1"/>
        </dgm:presLayoutVars>
      </dgm:prSet>
      <dgm:spPr/>
    </dgm:pt>
    <dgm:pt modelId="{886A8B15-EDFC-4C71-9912-6AE27020E3EB}" type="pres">
      <dgm:prSet presAssocID="{F6B93DAA-D12B-411E-8194-57F011B544FE}" presName="negativeSpace" presStyleCnt="0"/>
      <dgm:spPr/>
    </dgm:pt>
    <dgm:pt modelId="{58B929AA-EB1A-48D5-A627-A94CBEC21F01}" type="pres">
      <dgm:prSet presAssocID="{F6B93DAA-D12B-411E-8194-57F011B544FE}" presName="childText" presStyleLbl="conFgAcc1" presStyleIdx="2" presStyleCnt="3">
        <dgm:presLayoutVars>
          <dgm:bulletEnabled val="1"/>
        </dgm:presLayoutVars>
      </dgm:prSet>
      <dgm:spPr/>
    </dgm:pt>
  </dgm:ptLst>
  <dgm:cxnLst>
    <dgm:cxn modelId="{171B990F-CB89-4CC9-9A12-4D0150E2EDCB}" type="presOf" srcId="{F6B93DAA-D12B-411E-8194-57F011B544FE}" destId="{D6245106-561F-4FAF-8078-7592D1ABF5B2}" srcOrd="1" destOrd="0" presId="urn:microsoft.com/office/officeart/2005/8/layout/list1"/>
    <dgm:cxn modelId="{4D56FE15-A089-4E4F-A2E1-055E354E2548}" srcId="{F6B93DAA-D12B-411E-8194-57F011B544FE}" destId="{30399817-FD6E-4E09-B209-D9808FFA1CE2}" srcOrd="0" destOrd="0" parTransId="{6D010777-5349-4219-8A54-7CA0ED57EF8A}" sibTransId="{AAD7B832-D15A-475C-A226-F4F2FABBD294}"/>
    <dgm:cxn modelId="{808F9123-B78A-4B0A-896F-C67E0C7B2697}" type="presOf" srcId="{F6B93DAA-D12B-411E-8194-57F011B544FE}" destId="{F82092BA-92D6-4542-9A8C-C6227B9CFA8B}" srcOrd="0" destOrd="0" presId="urn:microsoft.com/office/officeart/2005/8/layout/list1"/>
    <dgm:cxn modelId="{D0E7D55B-8881-4435-A13D-B8B665554C11}" type="presOf" srcId="{E10F032F-3330-4288-A39C-83609737DE48}" destId="{FC4C7898-9CE6-4BD3-B248-3CABB72547E3}" srcOrd="0" destOrd="0" presId="urn:microsoft.com/office/officeart/2005/8/layout/list1"/>
    <dgm:cxn modelId="{3EE75E4F-74B9-45D0-8FCE-2D64896BAAC0}" srcId="{860892D5-72DD-4098-9518-66FD1C91458E}" destId="{F46B16D8-D2D0-4F9D-A307-AA669472EC21}" srcOrd="0" destOrd="0" parTransId="{7C414980-0EDE-4EEF-841A-DE211DA93EBA}" sibTransId="{CEADBD19-631A-4331-B991-3E6B4B7E11A4}"/>
    <dgm:cxn modelId="{0C863853-ED62-48EB-AA69-6EB2F41AF648}" type="presOf" srcId="{E10F032F-3330-4288-A39C-83609737DE48}" destId="{452866BB-7CB3-4207-9EF2-8199596F59EC}" srcOrd="1" destOrd="0" presId="urn:microsoft.com/office/officeart/2005/8/layout/list1"/>
    <dgm:cxn modelId="{FCDB6E55-321A-4DAA-A1ED-5062D5E155C9}" type="presOf" srcId="{860892D5-72DD-4098-9518-66FD1C91458E}" destId="{E8DF7CE2-9867-4FDF-8282-5A7B1F9F13B4}" srcOrd="0" destOrd="0" presId="urn:microsoft.com/office/officeart/2005/8/layout/list1"/>
    <dgm:cxn modelId="{F74BB957-D717-4D76-A24B-9A6AFD87DFFE}" srcId="{E10F032F-3330-4288-A39C-83609737DE48}" destId="{4EC2CE2B-9AE0-433F-9C3F-5A4328BAB414}" srcOrd="0" destOrd="0" parTransId="{52A82914-9405-4671-BCAF-701E515F0BA6}" sibTransId="{16227338-E435-4A5B-81F2-137621C51CDD}"/>
    <dgm:cxn modelId="{8AB0C589-40F2-4E37-8AFD-E06F8C053CB4}" type="presOf" srcId="{4EC2CE2B-9AE0-433F-9C3F-5A4328BAB414}" destId="{5E43BA30-02AD-419F-A730-FFFA3B000C81}" srcOrd="0" destOrd="0" presId="urn:microsoft.com/office/officeart/2005/8/layout/list1"/>
    <dgm:cxn modelId="{CCDED495-4B7D-4804-9756-DF8B6B1FBA16}" type="presOf" srcId="{30399817-FD6E-4E09-B209-D9808FFA1CE2}" destId="{58B929AA-EB1A-48D5-A627-A94CBEC21F01}" srcOrd="0" destOrd="0" presId="urn:microsoft.com/office/officeart/2005/8/layout/list1"/>
    <dgm:cxn modelId="{9DC60196-71BF-49C9-87F9-10F40E7EE007}" srcId="{F46B16D8-D2D0-4F9D-A307-AA669472EC21}" destId="{F6440101-1D15-432E-9374-BEBB392AC887}" srcOrd="0" destOrd="0" parTransId="{F5CA1A36-D272-4C72-91CE-616F55221D3D}" sibTransId="{AC2B9334-17BF-40CC-8622-96D4FA853F42}"/>
    <dgm:cxn modelId="{E4127BA1-D248-43E4-B69A-3B64C274F929}" type="presOf" srcId="{F46B16D8-D2D0-4F9D-A307-AA669472EC21}" destId="{9BF678F2-34C8-49B2-88C0-7A828169ACB1}" srcOrd="0" destOrd="0" presId="urn:microsoft.com/office/officeart/2005/8/layout/list1"/>
    <dgm:cxn modelId="{06CFC7BE-5DF8-48D6-9977-A8FCE0AAB7E0}" srcId="{860892D5-72DD-4098-9518-66FD1C91458E}" destId="{E10F032F-3330-4288-A39C-83609737DE48}" srcOrd="1" destOrd="0" parTransId="{A3C2824E-1DA5-4C28-8D9C-F68DFC598799}" sibTransId="{E3222BC4-80F2-460B-971B-C05D96757C8F}"/>
    <dgm:cxn modelId="{3CF66AC1-A47D-41FF-AB7C-D3ECA7D5DF6A}" srcId="{860892D5-72DD-4098-9518-66FD1C91458E}" destId="{F6B93DAA-D12B-411E-8194-57F011B544FE}" srcOrd="2" destOrd="0" parTransId="{6E947E60-75AE-47E9-82A7-7BE1D0CB52A2}" sibTransId="{B40BA91D-F782-450F-87FF-5381B7D2ADE6}"/>
    <dgm:cxn modelId="{E0C6C7E1-2A4D-473B-9903-F07F60B45077}" type="presOf" srcId="{F6440101-1D15-432E-9374-BEBB392AC887}" destId="{0854AD05-5736-4FEE-AAFF-5DA4F567639F}" srcOrd="0" destOrd="0" presId="urn:microsoft.com/office/officeart/2005/8/layout/list1"/>
    <dgm:cxn modelId="{E86C40E8-7087-4086-9425-CE9EB072861E}" type="presOf" srcId="{F46B16D8-D2D0-4F9D-A307-AA669472EC21}" destId="{86B28F63-C9F9-4C57-9222-2E8761C64A60}" srcOrd="1" destOrd="0" presId="urn:microsoft.com/office/officeart/2005/8/layout/list1"/>
    <dgm:cxn modelId="{14CE108F-1216-4063-85CA-B33A7DA5C1B9}" type="presParOf" srcId="{E8DF7CE2-9867-4FDF-8282-5A7B1F9F13B4}" destId="{9BD33E61-4692-419A-90D3-B75C9635EAE4}" srcOrd="0" destOrd="0" presId="urn:microsoft.com/office/officeart/2005/8/layout/list1"/>
    <dgm:cxn modelId="{8876EFFD-35FE-444C-93DB-D4BA28258F14}" type="presParOf" srcId="{9BD33E61-4692-419A-90D3-B75C9635EAE4}" destId="{9BF678F2-34C8-49B2-88C0-7A828169ACB1}" srcOrd="0" destOrd="0" presId="urn:microsoft.com/office/officeart/2005/8/layout/list1"/>
    <dgm:cxn modelId="{F67EFEA8-95EB-4C84-B60B-1965653D8B9B}" type="presParOf" srcId="{9BD33E61-4692-419A-90D3-B75C9635EAE4}" destId="{86B28F63-C9F9-4C57-9222-2E8761C64A60}" srcOrd="1" destOrd="0" presId="urn:microsoft.com/office/officeart/2005/8/layout/list1"/>
    <dgm:cxn modelId="{B5A0E721-D001-4BC2-85DD-57FB76F1EB30}" type="presParOf" srcId="{E8DF7CE2-9867-4FDF-8282-5A7B1F9F13B4}" destId="{CBA857D5-3F4B-44FF-A113-1951B9CABFDD}" srcOrd="1" destOrd="0" presId="urn:microsoft.com/office/officeart/2005/8/layout/list1"/>
    <dgm:cxn modelId="{43AC247D-4780-40D8-A924-1573E6261B80}" type="presParOf" srcId="{E8DF7CE2-9867-4FDF-8282-5A7B1F9F13B4}" destId="{0854AD05-5736-4FEE-AAFF-5DA4F567639F}" srcOrd="2" destOrd="0" presId="urn:microsoft.com/office/officeart/2005/8/layout/list1"/>
    <dgm:cxn modelId="{62A2904F-4322-4256-9E1C-E1B3F674B7C1}" type="presParOf" srcId="{E8DF7CE2-9867-4FDF-8282-5A7B1F9F13B4}" destId="{49AF8832-0517-4E94-8C83-1F8DF6F0D142}" srcOrd="3" destOrd="0" presId="urn:microsoft.com/office/officeart/2005/8/layout/list1"/>
    <dgm:cxn modelId="{0B58075C-EBA0-4980-8F56-68E0D264F722}" type="presParOf" srcId="{E8DF7CE2-9867-4FDF-8282-5A7B1F9F13B4}" destId="{7C320C6D-C07B-4AD5-B4F8-BA98E53F8C8F}" srcOrd="4" destOrd="0" presId="urn:microsoft.com/office/officeart/2005/8/layout/list1"/>
    <dgm:cxn modelId="{A81393C4-9701-4A51-B516-620DB4746026}" type="presParOf" srcId="{7C320C6D-C07B-4AD5-B4F8-BA98E53F8C8F}" destId="{FC4C7898-9CE6-4BD3-B248-3CABB72547E3}" srcOrd="0" destOrd="0" presId="urn:microsoft.com/office/officeart/2005/8/layout/list1"/>
    <dgm:cxn modelId="{5E2E3AAD-A3E7-41E4-B033-0DF14CBB5BC9}" type="presParOf" srcId="{7C320C6D-C07B-4AD5-B4F8-BA98E53F8C8F}" destId="{452866BB-7CB3-4207-9EF2-8199596F59EC}" srcOrd="1" destOrd="0" presId="urn:microsoft.com/office/officeart/2005/8/layout/list1"/>
    <dgm:cxn modelId="{99B9E906-48BB-4286-A17B-A7AAAB2D5D40}" type="presParOf" srcId="{E8DF7CE2-9867-4FDF-8282-5A7B1F9F13B4}" destId="{FDE89F22-9E34-4FFB-A88A-414C2A672D1B}" srcOrd="5" destOrd="0" presId="urn:microsoft.com/office/officeart/2005/8/layout/list1"/>
    <dgm:cxn modelId="{F8DF1315-2A01-4A1C-A17E-CC66025AE175}" type="presParOf" srcId="{E8DF7CE2-9867-4FDF-8282-5A7B1F9F13B4}" destId="{5E43BA30-02AD-419F-A730-FFFA3B000C81}" srcOrd="6" destOrd="0" presId="urn:microsoft.com/office/officeart/2005/8/layout/list1"/>
    <dgm:cxn modelId="{270934D3-18AC-434C-B409-AF6C237F43AC}" type="presParOf" srcId="{E8DF7CE2-9867-4FDF-8282-5A7B1F9F13B4}" destId="{6C6BAFF6-F9B7-45C3-AFA2-312133B49A98}" srcOrd="7" destOrd="0" presId="urn:microsoft.com/office/officeart/2005/8/layout/list1"/>
    <dgm:cxn modelId="{4AF173A4-047E-4956-84F7-FD1E95236C0C}" type="presParOf" srcId="{E8DF7CE2-9867-4FDF-8282-5A7B1F9F13B4}" destId="{113E9126-BB98-4400-BBC2-A82803793E2E}" srcOrd="8" destOrd="0" presId="urn:microsoft.com/office/officeart/2005/8/layout/list1"/>
    <dgm:cxn modelId="{F411F497-4E8B-47E8-91D5-7168D058FDF4}" type="presParOf" srcId="{113E9126-BB98-4400-BBC2-A82803793E2E}" destId="{F82092BA-92D6-4542-9A8C-C6227B9CFA8B}" srcOrd="0" destOrd="0" presId="urn:microsoft.com/office/officeart/2005/8/layout/list1"/>
    <dgm:cxn modelId="{A9332A87-168E-460C-9100-7F6372C6214F}" type="presParOf" srcId="{113E9126-BB98-4400-BBC2-A82803793E2E}" destId="{D6245106-561F-4FAF-8078-7592D1ABF5B2}" srcOrd="1" destOrd="0" presId="urn:microsoft.com/office/officeart/2005/8/layout/list1"/>
    <dgm:cxn modelId="{D79F34F3-D641-47AA-BC6F-ABEC7EF346F0}" type="presParOf" srcId="{E8DF7CE2-9867-4FDF-8282-5A7B1F9F13B4}" destId="{886A8B15-EDFC-4C71-9912-6AE27020E3EB}" srcOrd="9" destOrd="0" presId="urn:microsoft.com/office/officeart/2005/8/layout/list1"/>
    <dgm:cxn modelId="{3C722D74-2EF9-4A92-9D9B-D7522822012D}" type="presParOf" srcId="{E8DF7CE2-9867-4FDF-8282-5A7B1F9F13B4}" destId="{58B929AA-EB1A-48D5-A627-A94CBEC21F01}" srcOrd="10" destOrd="0" presId="urn:microsoft.com/office/officeart/2005/8/layout/lis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854AD05-5736-4FEE-AAFF-5DA4F567639F}">
      <dsp:nvSpPr>
        <dsp:cNvPr id="0" name=""/>
        <dsp:cNvSpPr/>
      </dsp:nvSpPr>
      <dsp:spPr>
        <a:xfrm>
          <a:off x="0" y="290828"/>
          <a:ext cx="4533900" cy="1562400"/>
        </a:xfrm>
        <a:prstGeom prst="rect">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51881" tIns="333248" rIns="351881" bIns="113792" numCol="1" spcCol="1270" anchor="t" anchorCtr="0">
          <a:noAutofit/>
        </a:bodyPr>
        <a:lstStyle/>
        <a:p>
          <a:pPr marL="171450" lvl="1" indent="-171450" algn="l" defTabSz="711200">
            <a:lnSpc>
              <a:spcPct val="90000"/>
            </a:lnSpc>
            <a:spcBef>
              <a:spcPct val="0"/>
            </a:spcBef>
            <a:spcAft>
              <a:spcPct val="15000"/>
            </a:spcAft>
            <a:buChar char="•"/>
          </a:pPr>
          <a:r>
            <a:rPr lang="en-US" sz="1600" kern="1200"/>
            <a:t>As per the selected Method, the user should fill information for input parameters &amp; choose the fuel type on this sheet and tab  "BE", "PE" and "LE" in Yello cells only.</a:t>
          </a:r>
        </a:p>
      </dsp:txBody>
      <dsp:txXfrm>
        <a:off x="0" y="290828"/>
        <a:ext cx="4533900" cy="1562400"/>
      </dsp:txXfrm>
    </dsp:sp>
    <dsp:sp modelId="{86B28F63-C9F9-4C57-9222-2E8761C64A60}">
      <dsp:nvSpPr>
        <dsp:cNvPr id="0" name=""/>
        <dsp:cNvSpPr/>
      </dsp:nvSpPr>
      <dsp:spPr>
        <a:xfrm>
          <a:off x="226695" y="54668"/>
          <a:ext cx="3173730" cy="472320"/>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19959" tIns="0" rIns="119959" bIns="0" numCol="1" spcCol="1270" anchor="ctr" anchorCtr="0">
          <a:noAutofit/>
        </a:bodyPr>
        <a:lstStyle/>
        <a:p>
          <a:pPr marL="0" lvl="0" indent="0" algn="l" defTabSz="711200">
            <a:lnSpc>
              <a:spcPct val="90000"/>
            </a:lnSpc>
            <a:spcBef>
              <a:spcPct val="0"/>
            </a:spcBef>
            <a:spcAft>
              <a:spcPct val="35000"/>
            </a:spcAft>
            <a:buNone/>
          </a:pPr>
          <a:r>
            <a:rPr lang="en-US" sz="1600" kern="1200"/>
            <a:t>Step -1</a:t>
          </a:r>
        </a:p>
      </dsp:txBody>
      <dsp:txXfrm>
        <a:off x="249752" y="77725"/>
        <a:ext cx="3127616" cy="426206"/>
      </dsp:txXfrm>
    </dsp:sp>
    <dsp:sp modelId="{5E43BA30-02AD-419F-A730-FFFA3B000C81}">
      <dsp:nvSpPr>
        <dsp:cNvPr id="0" name=""/>
        <dsp:cNvSpPr/>
      </dsp:nvSpPr>
      <dsp:spPr>
        <a:xfrm>
          <a:off x="0" y="2175788"/>
          <a:ext cx="4533900" cy="1360800"/>
        </a:xfrm>
        <a:prstGeom prst="rect">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51881" tIns="333248" rIns="351881" bIns="113792" numCol="1" spcCol="1270" anchor="t" anchorCtr="0">
          <a:noAutofit/>
        </a:bodyPr>
        <a:lstStyle/>
        <a:p>
          <a:pPr marL="171450" lvl="1" indent="-171450" algn="l" defTabSz="711200">
            <a:lnSpc>
              <a:spcPct val="90000"/>
            </a:lnSpc>
            <a:spcBef>
              <a:spcPct val="0"/>
            </a:spcBef>
            <a:spcAft>
              <a:spcPct val="15000"/>
            </a:spcAft>
            <a:buChar char="•"/>
          </a:pPr>
          <a:r>
            <a:rPr lang="en-US" sz="1600" kern="1200"/>
            <a:t>The user should fill information as per distribution plan and usage rates (expected or monitored) in tab "ER"</a:t>
          </a:r>
        </a:p>
      </dsp:txBody>
      <dsp:txXfrm>
        <a:off x="0" y="2175788"/>
        <a:ext cx="4533900" cy="1360800"/>
      </dsp:txXfrm>
    </dsp:sp>
    <dsp:sp modelId="{452866BB-7CB3-4207-9EF2-8199596F59EC}">
      <dsp:nvSpPr>
        <dsp:cNvPr id="0" name=""/>
        <dsp:cNvSpPr/>
      </dsp:nvSpPr>
      <dsp:spPr>
        <a:xfrm>
          <a:off x="226695" y="1939628"/>
          <a:ext cx="3173730" cy="472320"/>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19959" tIns="0" rIns="119959" bIns="0" numCol="1" spcCol="1270" anchor="ctr" anchorCtr="0">
          <a:noAutofit/>
        </a:bodyPr>
        <a:lstStyle/>
        <a:p>
          <a:pPr marL="0" lvl="0" indent="0" algn="l" defTabSz="711200">
            <a:lnSpc>
              <a:spcPct val="90000"/>
            </a:lnSpc>
            <a:spcBef>
              <a:spcPct val="0"/>
            </a:spcBef>
            <a:spcAft>
              <a:spcPct val="35000"/>
            </a:spcAft>
            <a:buNone/>
          </a:pPr>
          <a:r>
            <a:rPr lang="en-US" sz="1600" kern="1200"/>
            <a:t>Step -2</a:t>
          </a:r>
        </a:p>
      </dsp:txBody>
      <dsp:txXfrm>
        <a:off x="249752" y="1962685"/>
        <a:ext cx="3127616" cy="426206"/>
      </dsp:txXfrm>
    </dsp:sp>
    <dsp:sp modelId="{58B929AA-EB1A-48D5-A627-A94CBEC21F01}">
      <dsp:nvSpPr>
        <dsp:cNvPr id="0" name=""/>
        <dsp:cNvSpPr/>
      </dsp:nvSpPr>
      <dsp:spPr>
        <a:xfrm>
          <a:off x="0" y="3859148"/>
          <a:ext cx="4533900" cy="907200"/>
        </a:xfrm>
        <a:prstGeom prst="rect">
          <a:avLst/>
        </a:prstGeom>
        <a:solidFill>
          <a:schemeClr val="lt1">
            <a:alpha val="90000"/>
            <a:hueOff val="0"/>
            <a:satOff val="0"/>
            <a:lumOff val="0"/>
            <a:alphaOff val="0"/>
          </a:schemeClr>
        </a:solidFill>
        <a:ln w="25400" cap="flat" cmpd="sng" algn="ctr">
          <a:solidFill>
            <a:schemeClr val="accen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351881" tIns="333248" rIns="351881" bIns="113792" numCol="1" spcCol="1270" anchor="t" anchorCtr="0">
          <a:noAutofit/>
        </a:bodyPr>
        <a:lstStyle/>
        <a:p>
          <a:pPr marL="171450" lvl="1" indent="-171450" algn="l" defTabSz="711200">
            <a:lnSpc>
              <a:spcPct val="90000"/>
            </a:lnSpc>
            <a:spcBef>
              <a:spcPct val="0"/>
            </a:spcBef>
            <a:spcAft>
              <a:spcPct val="15000"/>
            </a:spcAft>
            <a:buChar char="•"/>
          </a:pPr>
          <a:r>
            <a:rPr lang="en-US" sz="1600" kern="1200"/>
            <a:t>Check the emission reduction in "cover" worksheet.</a:t>
          </a:r>
        </a:p>
      </dsp:txBody>
      <dsp:txXfrm>
        <a:off x="0" y="3859148"/>
        <a:ext cx="4533900" cy="907200"/>
      </dsp:txXfrm>
    </dsp:sp>
    <dsp:sp modelId="{D6245106-561F-4FAF-8078-7592D1ABF5B2}">
      <dsp:nvSpPr>
        <dsp:cNvPr id="0" name=""/>
        <dsp:cNvSpPr/>
      </dsp:nvSpPr>
      <dsp:spPr>
        <a:xfrm>
          <a:off x="226695" y="3622988"/>
          <a:ext cx="3173730" cy="472320"/>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19959" tIns="0" rIns="119959" bIns="0" numCol="1" spcCol="1270" anchor="ctr" anchorCtr="0">
          <a:noAutofit/>
        </a:bodyPr>
        <a:lstStyle/>
        <a:p>
          <a:pPr marL="0" lvl="0" indent="0" algn="l" defTabSz="711200">
            <a:lnSpc>
              <a:spcPct val="90000"/>
            </a:lnSpc>
            <a:spcBef>
              <a:spcPct val="0"/>
            </a:spcBef>
            <a:spcAft>
              <a:spcPct val="35000"/>
            </a:spcAft>
            <a:buNone/>
          </a:pPr>
          <a:r>
            <a:rPr lang="en-US" sz="1600" kern="1200"/>
            <a:t>Step -3</a:t>
          </a:r>
        </a:p>
      </dsp:txBody>
      <dsp:txXfrm>
        <a:off x="249752" y="3646045"/>
        <a:ext cx="3127616" cy="426206"/>
      </dsp:txXfrm>
    </dsp:sp>
  </dsp:spTree>
</dsp:drawing>
</file>

<file path=xl/diagrams/layout1.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1.pn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s>
</file>

<file path=xl/drawings/_rels/drawing3.xml.rels><?xml version="1.0" encoding="UTF-8" standalone="yes"?>
<Relationships xmlns="http://schemas.openxmlformats.org/package/2006/relationships"><Relationship Id="rId8" Type="http://schemas.openxmlformats.org/officeDocument/2006/relationships/image" Target="../media/image19.png"/><Relationship Id="rId3" Type="http://schemas.openxmlformats.org/officeDocument/2006/relationships/image" Target="../media/image14.png"/><Relationship Id="rId7" Type="http://schemas.openxmlformats.org/officeDocument/2006/relationships/image" Target="../media/image18.png"/><Relationship Id="rId2" Type="http://schemas.openxmlformats.org/officeDocument/2006/relationships/image" Target="../media/image13.png"/><Relationship Id="rId1" Type="http://schemas.openxmlformats.org/officeDocument/2006/relationships/image" Target="../media/image12.png"/><Relationship Id="rId6" Type="http://schemas.openxmlformats.org/officeDocument/2006/relationships/image" Target="../media/image17.png"/><Relationship Id="rId5" Type="http://schemas.openxmlformats.org/officeDocument/2006/relationships/image" Target="../media/image16.png"/><Relationship Id="rId4" Type="http://schemas.openxmlformats.org/officeDocument/2006/relationships/image" Target="../media/image15.png"/></Relationships>
</file>

<file path=xl/drawings/drawing1.xml><?xml version="1.0" encoding="utf-8"?>
<xdr:wsDr xmlns:xdr="http://schemas.openxmlformats.org/drawingml/2006/spreadsheetDrawing" xmlns:a="http://schemas.openxmlformats.org/drawingml/2006/main">
  <xdr:twoCellAnchor>
    <xdr:from>
      <xdr:col>8</xdr:col>
      <xdr:colOff>300037</xdr:colOff>
      <xdr:row>4</xdr:row>
      <xdr:rowOff>57150</xdr:rowOff>
    </xdr:from>
    <xdr:to>
      <xdr:col>15</xdr:col>
      <xdr:colOff>71437</xdr:colOff>
      <xdr:row>25</xdr:row>
      <xdr:rowOff>47631</xdr:rowOff>
    </xdr:to>
    <xdr:graphicFrame macro="">
      <xdr:nvGraphicFramePr>
        <xdr:cNvPr id="3" name="Diagram 2">
          <a:extLst>
            <a:ext uri="{FF2B5EF4-FFF2-40B4-BE49-F238E27FC236}">
              <a16:creationId xmlns:a16="http://schemas.microsoft.com/office/drawing/2014/main" id="{6F156E73-CD0E-43E0-988D-802EB098FFFC}"/>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xdr:col>
      <xdr:colOff>0</xdr:colOff>
      <xdr:row>1</xdr:row>
      <xdr:rowOff>0</xdr:rowOff>
    </xdr:from>
    <xdr:to>
      <xdr:col>3</xdr:col>
      <xdr:colOff>463550</xdr:colOff>
      <xdr:row>1</xdr:row>
      <xdr:rowOff>1181100</xdr:rowOff>
    </xdr:to>
    <xdr:pic>
      <xdr:nvPicPr>
        <xdr:cNvPr id="5" name="Picture 4">
          <a:extLst>
            <a:ext uri="{FF2B5EF4-FFF2-40B4-BE49-F238E27FC236}">
              <a16:creationId xmlns:a16="http://schemas.microsoft.com/office/drawing/2014/main" id="{C9EDC05B-65FC-4F21-B132-BC134CB60389}"/>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9333" r="12000" b="21000"/>
        <a:stretch/>
      </xdr:blipFill>
      <xdr:spPr>
        <a:xfrm>
          <a:off x="57150" y="28575"/>
          <a:ext cx="3140075" cy="1181100"/>
        </a:xfrm>
        <a:prstGeom prst="rect">
          <a:avLst/>
        </a:prstGeom>
      </xdr:spPr>
    </xdr:pic>
    <xdr:clientData/>
  </xdr:twoCellAnchor>
  <xdr:twoCellAnchor>
    <xdr:from>
      <xdr:col>8</xdr:col>
      <xdr:colOff>238125</xdr:colOff>
      <xdr:row>1</xdr:row>
      <xdr:rowOff>1232648</xdr:rowOff>
    </xdr:from>
    <xdr:to>
      <xdr:col>11</xdr:col>
      <xdr:colOff>638175</xdr:colOff>
      <xdr:row>3</xdr:row>
      <xdr:rowOff>249150</xdr:rowOff>
    </xdr:to>
    <xdr:grpSp>
      <xdr:nvGrpSpPr>
        <xdr:cNvPr id="7" name="Group 6">
          <a:extLst>
            <a:ext uri="{FF2B5EF4-FFF2-40B4-BE49-F238E27FC236}">
              <a16:creationId xmlns:a16="http://schemas.microsoft.com/office/drawing/2014/main" id="{B4DCA971-3AF5-4D1F-B04F-7D3636C32570}"/>
            </a:ext>
          </a:extLst>
        </xdr:cNvPr>
        <xdr:cNvGrpSpPr/>
      </xdr:nvGrpSpPr>
      <xdr:grpSpPr>
        <a:xfrm>
          <a:off x="12457339" y="1259862"/>
          <a:ext cx="2441122" cy="771824"/>
          <a:chOff x="108877" y="667756"/>
          <a:chExt cx="2451100" cy="658724"/>
        </a:xfrm>
      </xdr:grpSpPr>
      <xdr:sp macro="" textlink="">
        <xdr:nvSpPr>
          <xdr:cNvPr id="8" name="TextBox 7">
            <a:extLst>
              <a:ext uri="{FF2B5EF4-FFF2-40B4-BE49-F238E27FC236}">
                <a16:creationId xmlns:a16="http://schemas.microsoft.com/office/drawing/2014/main" id="{73FD0FEC-E7A0-41EF-A1F7-6E3ACC03CB30}"/>
              </a:ext>
            </a:extLst>
          </xdr:cNvPr>
          <xdr:cNvSpPr txBox="1"/>
        </xdr:nvSpPr>
        <xdr:spPr>
          <a:xfrm>
            <a:off x="108877" y="667756"/>
            <a:ext cx="2451100" cy="658724"/>
          </a:xfrm>
          <a:prstGeom prst="rect">
            <a:avLst/>
          </a:prstGeom>
          <a:solidFill>
            <a:schemeClr val="tx1">
              <a:lumMod val="20000"/>
              <a:lumOff val="80000"/>
            </a:schemeClr>
          </a:solidFill>
        </xdr:spPr>
        <xdr:txBody>
          <a:bodyPr vertOverflow="clip" horzOverflow="clip" wrap="square" rtlCol="0" anchor="t"/>
          <a:lstStyle/>
          <a:p>
            <a:r>
              <a:rPr lang="en-GB" sz="1100" b="1">
                <a:solidFill>
                  <a:sysClr val="windowText" lastClr="000000"/>
                </a:solidFill>
              </a:rPr>
              <a:t>Key </a:t>
            </a:r>
          </a:p>
          <a:p>
            <a:r>
              <a:rPr lang="en-GB" sz="1100">
                <a:solidFill>
                  <a:sysClr val="windowText" lastClr="000000"/>
                </a:solidFill>
              </a:rPr>
              <a:t>Cell to</a:t>
            </a:r>
            <a:r>
              <a:rPr lang="en-GB" sz="1100" baseline="0">
                <a:solidFill>
                  <a:sysClr val="windowText" lastClr="000000"/>
                </a:solidFill>
              </a:rPr>
              <a:t> fill </a:t>
            </a:r>
            <a:endParaRPr lang="en-GB" sz="1100">
              <a:solidFill>
                <a:sysClr val="windowText" lastClr="000000"/>
              </a:solidFill>
            </a:endParaRPr>
          </a:p>
        </xdr:txBody>
      </xdr:sp>
      <xdr:sp macro="" textlink="">
        <xdr:nvSpPr>
          <xdr:cNvPr id="9" name="Rectangle 8">
            <a:extLst>
              <a:ext uri="{FF2B5EF4-FFF2-40B4-BE49-F238E27FC236}">
                <a16:creationId xmlns:a16="http://schemas.microsoft.com/office/drawing/2014/main" id="{6917E65F-3CD4-4413-94AE-6901B02CF40D}"/>
              </a:ext>
            </a:extLst>
          </xdr:cNvPr>
          <xdr:cNvSpPr/>
        </xdr:nvSpPr>
        <xdr:spPr>
          <a:xfrm>
            <a:off x="1064193" y="804281"/>
            <a:ext cx="1285156" cy="257895"/>
          </a:xfrm>
          <a:prstGeom prst="rect">
            <a:avLst/>
          </a:prstGeom>
          <a:solidFill>
            <a:srgbClr val="FFFF00"/>
          </a:solidFill>
          <a:ln w="28575">
            <a:solidFill>
              <a:schemeClr val="tx2"/>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GB"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657225</xdr:colOff>
      <xdr:row>43</xdr:row>
      <xdr:rowOff>61384</xdr:rowOff>
    </xdr:from>
    <xdr:to>
      <xdr:col>3</xdr:col>
      <xdr:colOff>804335</xdr:colOff>
      <xdr:row>44</xdr:row>
      <xdr:rowOff>85413</xdr:rowOff>
    </xdr:to>
    <xdr:pic>
      <xdr:nvPicPr>
        <xdr:cNvPr id="4" name="Picture 3">
          <a:extLst>
            <a:ext uri="{FF2B5EF4-FFF2-40B4-BE49-F238E27FC236}">
              <a16:creationId xmlns:a16="http://schemas.microsoft.com/office/drawing/2014/main" id="{A10FD88E-CD64-4328-9122-DB4597972737}"/>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45142" y="6093884"/>
          <a:ext cx="2041526" cy="2674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5</xdr:row>
      <xdr:rowOff>0</xdr:rowOff>
    </xdr:from>
    <xdr:to>
      <xdr:col>1</xdr:col>
      <xdr:colOff>228600</xdr:colOff>
      <xdr:row>5</xdr:row>
      <xdr:rowOff>190500</xdr:rowOff>
    </xdr:to>
    <xdr:pic>
      <xdr:nvPicPr>
        <xdr:cNvPr id="6" name="Picture 5">
          <a:extLst>
            <a:ext uri="{FF2B5EF4-FFF2-40B4-BE49-F238E27FC236}">
              <a16:creationId xmlns:a16="http://schemas.microsoft.com/office/drawing/2014/main" id="{2B9288EF-8A69-4EDD-8D84-FE37504AAEA1}"/>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5800" y="904875"/>
          <a:ext cx="2286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xdr:row>
      <xdr:rowOff>0</xdr:rowOff>
    </xdr:from>
    <xdr:to>
      <xdr:col>1</xdr:col>
      <xdr:colOff>276225</xdr:colOff>
      <xdr:row>6</xdr:row>
      <xdr:rowOff>209550</xdr:rowOff>
    </xdr:to>
    <xdr:pic>
      <xdr:nvPicPr>
        <xdr:cNvPr id="7" name="Picture 6">
          <a:extLst>
            <a:ext uri="{FF2B5EF4-FFF2-40B4-BE49-F238E27FC236}">
              <a16:creationId xmlns:a16="http://schemas.microsoft.com/office/drawing/2014/main" id="{6113D205-F437-4E82-A264-15E43ADD9B99}"/>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5800" y="2390775"/>
          <a:ext cx="27622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11</xdr:row>
      <xdr:rowOff>0</xdr:rowOff>
    </xdr:from>
    <xdr:to>
      <xdr:col>1</xdr:col>
      <xdr:colOff>285750</xdr:colOff>
      <xdr:row>11</xdr:row>
      <xdr:rowOff>200025</xdr:rowOff>
    </xdr:to>
    <xdr:pic>
      <xdr:nvPicPr>
        <xdr:cNvPr id="8" name="Picture 7">
          <a:extLst>
            <a:ext uri="{FF2B5EF4-FFF2-40B4-BE49-F238E27FC236}">
              <a16:creationId xmlns:a16="http://schemas.microsoft.com/office/drawing/2014/main" id="{CBADAC29-6BA3-4720-8C2F-D25B2FD37008}"/>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5800" y="4200525"/>
          <a:ext cx="2857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xdr:col>
      <xdr:colOff>381000</xdr:colOff>
      <xdr:row>27</xdr:row>
      <xdr:rowOff>200025</xdr:rowOff>
    </xdr:to>
    <xdr:pic>
      <xdr:nvPicPr>
        <xdr:cNvPr id="9" name="Picture 8">
          <a:extLst>
            <a:ext uri="{FF2B5EF4-FFF2-40B4-BE49-F238E27FC236}">
              <a16:creationId xmlns:a16="http://schemas.microsoft.com/office/drawing/2014/main" id="{144A48D4-A9D2-4B97-B759-27CEDC08235C}"/>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5800" y="5505450"/>
          <a:ext cx="38100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45</xdr:row>
      <xdr:rowOff>0</xdr:rowOff>
    </xdr:from>
    <xdr:to>
      <xdr:col>1</xdr:col>
      <xdr:colOff>247650</xdr:colOff>
      <xdr:row>45</xdr:row>
      <xdr:rowOff>209550</xdr:rowOff>
    </xdr:to>
    <xdr:pic>
      <xdr:nvPicPr>
        <xdr:cNvPr id="11" name="Picture 10">
          <a:extLst>
            <a:ext uri="{FF2B5EF4-FFF2-40B4-BE49-F238E27FC236}">
              <a16:creationId xmlns:a16="http://schemas.microsoft.com/office/drawing/2014/main" id="{EF09CC78-0033-4D32-AD90-A3FE6ABC0435}"/>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5800" y="3876675"/>
          <a:ext cx="2476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47</xdr:row>
      <xdr:rowOff>0</xdr:rowOff>
    </xdr:from>
    <xdr:to>
      <xdr:col>2</xdr:col>
      <xdr:colOff>0</xdr:colOff>
      <xdr:row>47</xdr:row>
      <xdr:rowOff>338666</xdr:rowOff>
    </xdr:to>
    <xdr:pic>
      <xdr:nvPicPr>
        <xdr:cNvPr id="12" name="Picture 11">
          <a:extLst>
            <a:ext uri="{FF2B5EF4-FFF2-40B4-BE49-F238E27FC236}">
              <a16:creationId xmlns:a16="http://schemas.microsoft.com/office/drawing/2014/main" id="{6957E624-72F2-4B4C-81CD-60165A664CC8}"/>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5833" y="12403667"/>
          <a:ext cx="1206500" cy="3386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48</xdr:row>
      <xdr:rowOff>0</xdr:rowOff>
    </xdr:from>
    <xdr:to>
      <xdr:col>1</xdr:col>
      <xdr:colOff>228600</xdr:colOff>
      <xdr:row>48</xdr:row>
      <xdr:rowOff>190500</xdr:rowOff>
    </xdr:to>
    <xdr:pic>
      <xdr:nvPicPr>
        <xdr:cNvPr id="13" name="Picture 12">
          <a:extLst>
            <a:ext uri="{FF2B5EF4-FFF2-40B4-BE49-F238E27FC236}">
              <a16:creationId xmlns:a16="http://schemas.microsoft.com/office/drawing/2014/main" id="{94613B9C-F0E1-4DFB-B940-E64BD8C7E938}"/>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85800" y="6629400"/>
          <a:ext cx="2286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275167</xdr:colOff>
      <xdr:row>2</xdr:row>
      <xdr:rowOff>116416</xdr:rowOff>
    </xdr:from>
    <xdr:to>
      <xdr:col>3</xdr:col>
      <xdr:colOff>4419075</xdr:colOff>
      <xdr:row>4</xdr:row>
      <xdr:rowOff>31750</xdr:rowOff>
    </xdr:to>
    <xdr:pic>
      <xdr:nvPicPr>
        <xdr:cNvPr id="27" name="Picture 26">
          <a:extLst>
            <a:ext uri="{FF2B5EF4-FFF2-40B4-BE49-F238E27FC236}">
              <a16:creationId xmlns:a16="http://schemas.microsoft.com/office/drawing/2014/main" id="{B04016D7-7E70-4CB9-BD65-29F9AAB04223}"/>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63084" y="486833"/>
          <a:ext cx="6884991" cy="328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137584</xdr:colOff>
      <xdr:row>30</xdr:row>
      <xdr:rowOff>232833</xdr:rowOff>
    </xdr:from>
    <xdr:to>
      <xdr:col>1</xdr:col>
      <xdr:colOff>413809</xdr:colOff>
      <xdr:row>31</xdr:row>
      <xdr:rowOff>261408</xdr:rowOff>
    </xdr:to>
    <xdr:pic>
      <xdr:nvPicPr>
        <xdr:cNvPr id="30" name="Picture 29">
          <a:extLst>
            <a:ext uri="{FF2B5EF4-FFF2-40B4-BE49-F238E27FC236}">
              <a16:creationId xmlns:a16="http://schemas.microsoft.com/office/drawing/2014/main" id="{F30B4427-CF17-4921-A932-0C45D598AF07}"/>
            </a:ext>
          </a:extLst>
        </xdr:cNvPr>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5501" y="6360583"/>
          <a:ext cx="276225" cy="303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31750</xdr:colOff>
      <xdr:row>26</xdr:row>
      <xdr:rowOff>15524</xdr:rowOff>
    </xdr:from>
    <xdr:to>
      <xdr:col>1</xdr:col>
      <xdr:colOff>412749</xdr:colOff>
      <xdr:row>26</xdr:row>
      <xdr:rowOff>253999</xdr:rowOff>
    </xdr:to>
    <xdr:pic>
      <xdr:nvPicPr>
        <xdr:cNvPr id="31" name="Picture 30">
          <a:extLst>
            <a:ext uri="{FF2B5EF4-FFF2-40B4-BE49-F238E27FC236}">
              <a16:creationId xmlns:a16="http://schemas.microsoft.com/office/drawing/2014/main" id="{69471C83-3701-4446-8837-16124666099F}"/>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19667" y="3730274"/>
          <a:ext cx="380999" cy="23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21</xdr:row>
      <xdr:rowOff>171450</xdr:rowOff>
    </xdr:from>
    <xdr:to>
      <xdr:col>3</xdr:col>
      <xdr:colOff>1638300</xdr:colOff>
      <xdr:row>23</xdr:row>
      <xdr:rowOff>142875</xdr:rowOff>
    </xdr:to>
    <xdr:pic>
      <xdr:nvPicPr>
        <xdr:cNvPr id="11" name="Picture 10">
          <a:extLst>
            <a:ext uri="{FF2B5EF4-FFF2-40B4-BE49-F238E27FC236}">
              <a16:creationId xmlns:a16="http://schemas.microsoft.com/office/drawing/2014/main" id="{E88089F8-639B-41C4-8AA6-3BB52661EBD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7306925"/>
          <a:ext cx="320040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24</xdr:row>
      <xdr:rowOff>0</xdr:rowOff>
    </xdr:from>
    <xdr:to>
      <xdr:col>1</xdr:col>
      <xdr:colOff>238125</xdr:colOff>
      <xdr:row>24</xdr:row>
      <xdr:rowOff>209550</xdr:rowOff>
    </xdr:to>
    <xdr:pic>
      <xdr:nvPicPr>
        <xdr:cNvPr id="6" name="Picture 11">
          <a:extLst>
            <a:ext uri="{FF2B5EF4-FFF2-40B4-BE49-F238E27FC236}">
              <a16:creationId xmlns:a16="http://schemas.microsoft.com/office/drawing/2014/main" id="{C7F58B10-62DF-482E-AEF7-32B514B74F5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7678400"/>
          <a:ext cx="23812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26</xdr:row>
      <xdr:rowOff>0</xdr:rowOff>
    </xdr:from>
    <xdr:to>
      <xdr:col>1</xdr:col>
      <xdr:colOff>419100</xdr:colOff>
      <xdr:row>26</xdr:row>
      <xdr:rowOff>209550</xdr:rowOff>
    </xdr:to>
    <xdr:pic>
      <xdr:nvPicPr>
        <xdr:cNvPr id="13" name="Picture 12">
          <a:extLst>
            <a:ext uri="{FF2B5EF4-FFF2-40B4-BE49-F238E27FC236}">
              <a16:creationId xmlns:a16="http://schemas.microsoft.com/office/drawing/2014/main" id="{FEB48CE2-3BE4-40E1-BD6B-39C114282A45}"/>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7916525"/>
          <a:ext cx="4191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xdr:col>
      <xdr:colOff>342900</xdr:colOff>
      <xdr:row>27</xdr:row>
      <xdr:rowOff>209550</xdr:rowOff>
    </xdr:to>
    <xdr:pic>
      <xdr:nvPicPr>
        <xdr:cNvPr id="14" name="Picture 13">
          <a:extLst>
            <a:ext uri="{FF2B5EF4-FFF2-40B4-BE49-F238E27FC236}">
              <a16:creationId xmlns:a16="http://schemas.microsoft.com/office/drawing/2014/main" id="{509E0D9F-F096-426D-87C1-7F8353473D95}"/>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8326100"/>
          <a:ext cx="3429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xdr:col>
      <xdr:colOff>390525</xdr:colOff>
      <xdr:row>28</xdr:row>
      <xdr:rowOff>209550</xdr:rowOff>
    </xdr:to>
    <xdr:pic>
      <xdr:nvPicPr>
        <xdr:cNvPr id="15" name="Picture 14">
          <a:extLst>
            <a:ext uri="{FF2B5EF4-FFF2-40B4-BE49-F238E27FC236}">
              <a16:creationId xmlns:a16="http://schemas.microsoft.com/office/drawing/2014/main" id="{F31335F8-27FF-4345-9C7D-61F837AE75D6}"/>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8754725"/>
          <a:ext cx="39052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12</xdr:row>
      <xdr:rowOff>0</xdr:rowOff>
    </xdr:from>
    <xdr:to>
      <xdr:col>1</xdr:col>
      <xdr:colOff>419100</xdr:colOff>
      <xdr:row>12</xdr:row>
      <xdr:rowOff>209550</xdr:rowOff>
    </xdr:to>
    <xdr:pic>
      <xdr:nvPicPr>
        <xdr:cNvPr id="7" name="Picture 6">
          <a:extLst>
            <a:ext uri="{FF2B5EF4-FFF2-40B4-BE49-F238E27FC236}">
              <a16:creationId xmlns:a16="http://schemas.microsoft.com/office/drawing/2014/main" id="{430CE64D-7166-42B7-8A6C-8D7D35361ABF}"/>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4658975"/>
          <a:ext cx="4191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698500</xdr:colOff>
      <xdr:row>9</xdr:row>
      <xdr:rowOff>10582</xdr:rowOff>
    </xdr:from>
    <xdr:to>
      <xdr:col>3</xdr:col>
      <xdr:colOff>1431925</xdr:colOff>
      <xdr:row>10</xdr:row>
      <xdr:rowOff>162983</xdr:rowOff>
    </xdr:to>
    <xdr:pic>
      <xdr:nvPicPr>
        <xdr:cNvPr id="8" name="Picture 7">
          <a:extLst>
            <a:ext uri="{FF2B5EF4-FFF2-40B4-BE49-F238E27FC236}">
              <a16:creationId xmlns:a16="http://schemas.microsoft.com/office/drawing/2014/main" id="{2C35AAA6-AB54-47DD-AA94-C47CA01143D5}"/>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79500" y="14126632"/>
          <a:ext cx="2295525" cy="3333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52917</xdr:colOff>
      <xdr:row>16</xdr:row>
      <xdr:rowOff>169334</xdr:rowOff>
    </xdr:from>
    <xdr:to>
      <xdr:col>1</xdr:col>
      <xdr:colOff>376767</xdr:colOff>
      <xdr:row>18</xdr:row>
      <xdr:rowOff>17991</xdr:rowOff>
    </xdr:to>
    <xdr:pic>
      <xdr:nvPicPr>
        <xdr:cNvPr id="9" name="Picture 8">
          <a:extLst>
            <a:ext uri="{FF2B5EF4-FFF2-40B4-BE49-F238E27FC236}">
              <a16:creationId xmlns:a16="http://schemas.microsoft.com/office/drawing/2014/main" id="{D6466DD0-3635-4721-96BD-58AD2F799C9E}"/>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3917" y="15552209"/>
          <a:ext cx="323850" cy="2106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373592</xdr:colOff>
      <xdr:row>32</xdr:row>
      <xdr:rowOff>67735</xdr:rowOff>
    </xdr:from>
    <xdr:ext cx="6872817" cy="548633"/>
    <xdr:pic>
      <xdr:nvPicPr>
        <xdr:cNvPr id="21" name="Picture 1">
          <a:extLst>
            <a:ext uri="{FF2B5EF4-FFF2-40B4-BE49-F238E27FC236}">
              <a16:creationId xmlns:a16="http://schemas.microsoft.com/office/drawing/2014/main" id="{E3304047-7E80-456A-B4FD-DE6EB209841F}"/>
            </a:ext>
          </a:extLst>
        </xdr:cNvPr>
        <xdr:cNvPicPr>
          <a:picLocks noChangeAspect="1"/>
        </xdr:cNvPicPr>
      </xdr:nvPicPr>
      <xdr:blipFill>
        <a:blip xmlns:r="http://schemas.openxmlformats.org/officeDocument/2006/relationships" r:embed="rId8"/>
        <a:stretch>
          <a:fillRect/>
        </a:stretch>
      </xdr:blipFill>
      <xdr:spPr>
        <a:xfrm>
          <a:off x="373592" y="7423152"/>
          <a:ext cx="6869642" cy="545458"/>
        </a:xfrm>
        <a:prstGeom prst="rect">
          <a:avLst/>
        </a:prstGeom>
      </xdr:spPr>
    </xdr:pic>
    <xdr:clientData/>
  </xdr:oneCellAnchor>
  <xdr:twoCellAnchor>
    <xdr:from>
      <xdr:col>1</xdr:col>
      <xdr:colOff>0</xdr:colOff>
      <xdr:row>46</xdr:row>
      <xdr:rowOff>0</xdr:rowOff>
    </xdr:from>
    <xdr:to>
      <xdr:col>1</xdr:col>
      <xdr:colOff>238125</xdr:colOff>
      <xdr:row>46</xdr:row>
      <xdr:rowOff>209550</xdr:rowOff>
    </xdr:to>
    <xdr:pic>
      <xdr:nvPicPr>
        <xdr:cNvPr id="20" name="Picture 15">
          <a:extLst>
            <a:ext uri="{FF2B5EF4-FFF2-40B4-BE49-F238E27FC236}">
              <a16:creationId xmlns:a16="http://schemas.microsoft.com/office/drawing/2014/main" id="{513F2CAB-18F5-427E-B5D3-F4D624171305}"/>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4466167"/>
          <a:ext cx="2349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370417</xdr:colOff>
      <xdr:row>50</xdr:row>
      <xdr:rowOff>128060</xdr:rowOff>
    </xdr:from>
    <xdr:ext cx="6872817" cy="548633"/>
    <xdr:pic>
      <xdr:nvPicPr>
        <xdr:cNvPr id="22" name="Picture 17">
          <a:extLst>
            <a:ext uri="{FF2B5EF4-FFF2-40B4-BE49-F238E27FC236}">
              <a16:creationId xmlns:a16="http://schemas.microsoft.com/office/drawing/2014/main" id="{5BBA763F-7A3F-42C1-895B-EDD8F03730C2}"/>
            </a:ext>
          </a:extLst>
        </xdr:cNvPr>
        <xdr:cNvPicPr>
          <a:picLocks noChangeAspect="1"/>
        </xdr:cNvPicPr>
      </xdr:nvPicPr>
      <xdr:blipFill>
        <a:blip xmlns:r="http://schemas.openxmlformats.org/officeDocument/2006/relationships" r:embed="rId8"/>
        <a:stretch>
          <a:fillRect/>
        </a:stretch>
      </xdr:blipFill>
      <xdr:spPr>
        <a:xfrm>
          <a:off x="370417" y="11261727"/>
          <a:ext cx="6872817" cy="548633"/>
        </a:xfrm>
        <a:prstGeom prst="rect">
          <a:avLst/>
        </a:prstGeom>
      </xdr:spPr>
    </xdr:pic>
    <xdr:clientData/>
  </xdr:oneCellAnchor>
  <xdr:twoCellAnchor>
    <xdr:from>
      <xdr:col>1</xdr:col>
      <xdr:colOff>0</xdr:colOff>
      <xdr:row>65</xdr:row>
      <xdr:rowOff>0</xdr:rowOff>
    </xdr:from>
    <xdr:to>
      <xdr:col>1</xdr:col>
      <xdr:colOff>238125</xdr:colOff>
      <xdr:row>65</xdr:row>
      <xdr:rowOff>209550</xdr:rowOff>
    </xdr:to>
    <xdr:pic>
      <xdr:nvPicPr>
        <xdr:cNvPr id="24" name="Picture 18">
          <a:extLst>
            <a:ext uri="{FF2B5EF4-FFF2-40B4-BE49-F238E27FC236}">
              <a16:creationId xmlns:a16="http://schemas.microsoft.com/office/drawing/2014/main" id="{BC33EA04-77EE-4D27-A40C-F4EAC2F98024}"/>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0551583"/>
          <a:ext cx="2349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xdr:row>
      <xdr:rowOff>0</xdr:rowOff>
    </xdr:from>
    <xdr:to>
      <xdr:col>1</xdr:col>
      <xdr:colOff>238125</xdr:colOff>
      <xdr:row>3</xdr:row>
      <xdr:rowOff>209550</xdr:rowOff>
    </xdr:to>
    <xdr:pic>
      <xdr:nvPicPr>
        <xdr:cNvPr id="26" name="Picture 19">
          <a:extLst>
            <a:ext uri="{FF2B5EF4-FFF2-40B4-BE49-F238E27FC236}">
              <a16:creationId xmlns:a16="http://schemas.microsoft.com/office/drawing/2014/main" id="{62C5FC6C-AFFA-4276-B73C-6C38D942D824}"/>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5388167"/>
          <a:ext cx="2349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857252</xdr:colOff>
      <xdr:row>1</xdr:row>
      <xdr:rowOff>107156</xdr:rowOff>
    </xdr:from>
    <xdr:to>
      <xdr:col>3</xdr:col>
      <xdr:colOff>1035845</xdr:colOff>
      <xdr:row>5</xdr:row>
      <xdr:rowOff>178593</xdr:rowOff>
    </xdr:to>
    <xdr:sp macro="" textlink="">
      <xdr:nvSpPr>
        <xdr:cNvPr id="2" name="Callout: Down Arrow 1">
          <a:extLst>
            <a:ext uri="{FF2B5EF4-FFF2-40B4-BE49-F238E27FC236}">
              <a16:creationId xmlns:a16="http://schemas.microsoft.com/office/drawing/2014/main" id="{AFB23314-7318-4CFE-A1E3-B98998F84C04}"/>
            </a:ext>
          </a:extLst>
        </xdr:cNvPr>
        <xdr:cNvSpPr/>
      </xdr:nvSpPr>
      <xdr:spPr>
        <a:xfrm>
          <a:off x="2095502" y="321469"/>
          <a:ext cx="1178718" cy="928687"/>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tx1"/>
              </a:solidFill>
            </a:rPr>
            <a:t>Add number of stoves here</a:t>
          </a:r>
        </a:p>
      </xdr:txBody>
    </xdr:sp>
    <xdr:clientData/>
  </xdr:twoCellAnchor>
  <xdr:twoCellAnchor>
    <xdr:from>
      <xdr:col>0</xdr:col>
      <xdr:colOff>0</xdr:colOff>
      <xdr:row>1</xdr:row>
      <xdr:rowOff>104775</xdr:rowOff>
    </xdr:from>
    <xdr:to>
      <xdr:col>2</xdr:col>
      <xdr:colOff>762000</xdr:colOff>
      <xdr:row>5</xdr:row>
      <xdr:rowOff>190500</xdr:rowOff>
    </xdr:to>
    <xdr:sp macro="" textlink="">
      <xdr:nvSpPr>
        <xdr:cNvPr id="9" name="Callout: Down Arrow 2">
          <a:extLst>
            <a:ext uri="{FF2B5EF4-FFF2-40B4-BE49-F238E27FC236}">
              <a16:creationId xmlns:a16="http://schemas.microsoft.com/office/drawing/2014/main" id="{E44B57B1-B379-4CAE-B361-B63E82CF4BAA}"/>
            </a:ext>
            <a:ext uri="{147F2762-F138-4A5C-976F-8EAC2B608ADB}">
              <a16:predDERef xmlns:a16="http://schemas.microsoft.com/office/drawing/2014/main" pred="{AFB23314-7318-4CFE-A1E3-B98998F84C04}"/>
            </a:ext>
          </a:extLst>
        </xdr:cNvPr>
        <xdr:cNvSpPr/>
      </xdr:nvSpPr>
      <xdr:spPr>
        <a:xfrm>
          <a:off x="0" y="314325"/>
          <a:ext cx="2000250" cy="923925"/>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tx1"/>
              </a:solidFill>
            </a:rPr>
            <a:t>Project creditign period</a:t>
          </a:r>
          <a:r>
            <a:rPr lang="en-US" sz="1100" baseline="0">
              <a:solidFill>
                <a:schemeClr val="tx1"/>
              </a:solidFill>
            </a:rPr>
            <a:t> </a:t>
          </a:r>
          <a:r>
            <a:rPr lang="en-US" sz="1100">
              <a:solidFill>
                <a:schemeClr val="tx1"/>
              </a:solidFill>
            </a:rPr>
            <a:t>start date (Auto fill</a:t>
          </a:r>
          <a:r>
            <a:rPr lang="en-US" sz="1100" baseline="0">
              <a:solidFill>
                <a:schemeClr val="tx1"/>
              </a:solidFill>
            </a:rPr>
            <a:t> from cover sheet)</a:t>
          </a:r>
          <a:endParaRPr lang="en-US" sz="1100">
            <a:solidFill>
              <a:schemeClr val="tx1"/>
            </a:solidFill>
          </a:endParaRPr>
        </a:p>
      </xdr:txBody>
    </xdr:sp>
    <xdr:clientData/>
  </xdr:twoCellAnchor>
  <xdr:twoCellAnchor>
    <xdr:from>
      <xdr:col>4</xdr:col>
      <xdr:colOff>609600</xdr:colOff>
      <xdr:row>1</xdr:row>
      <xdr:rowOff>76200</xdr:rowOff>
    </xdr:from>
    <xdr:to>
      <xdr:col>6</xdr:col>
      <xdr:colOff>533400</xdr:colOff>
      <xdr:row>5</xdr:row>
      <xdr:rowOff>152400</xdr:rowOff>
    </xdr:to>
    <xdr:sp macro="" textlink="">
      <xdr:nvSpPr>
        <xdr:cNvPr id="8" name="Callout: Down Arrow 3">
          <a:extLst>
            <a:ext uri="{FF2B5EF4-FFF2-40B4-BE49-F238E27FC236}">
              <a16:creationId xmlns:a16="http://schemas.microsoft.com/office/drawing/2014/main" id="{4CCF8819-A352-451A-8207-52B60C2F4B42}"/>
            </a:ext>
            <a:ext uri="{147F2762-F138-4A5C-976F-8EAC2B608ADB}">
              <a16:predDERef xmlns:a16="http://schemas.microsoft.com/office/drawing/2014/main" pred="{E44B57B1-B379-4CAE-B361-B63E82CF4BAA}"/>
            </a:ext>
          </a:extLst>
        </xdr:cNvPr>
        <xdr:cNvSpPr/>
      </xdr:nvSpPr>
      <xdr:spPr>
        <a:xfrm>
          <a:off x="3905250" y="285750"/>
          <a:ext cx="1543050" cy="914400"/>
        </a:xfrm>
        <a:prstGeom prst="downArrowCallou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1100">
              <a:solidFill>
                <a:schemeClr val="tx1"/>
              </a:solidFill>
              <a:latin typeface="+mn-lt"/>
              <a:ea typeface="+mn-lt"/>
              <a:cs typeface="+mn-lt"/>
            </a:rPr>
            <a:t>Fill usage rate as per monitoing data.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2.168.1.50/Projects/A/Clients/PLN/PLN%20Budget/PLN%20budget%20forms/Lk200312-02-03-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92.168.1.50/Projects/Volumes/NURUL%20JOE/LKSEM2001PJ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nexuscarbonfordevelopme.sharepoint.com/Working_HH/_KfW/_CEDAC/Final%20Report/CashFlow012001Anggara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kRp"/>
      <sheetName val="PkVal"/>
      <sheetName val="PkJtRp"/>
      <sheetName val="PkJtVal"/>
      <sheetName val="ByDkpRp"/>
      <sheetName val="ByDkpVal"/>
      <sheetName val="ByDkpJtRp"/>
      <sheetName val="ByDkpJtVal"/>
      <sheetName val="ByPinjRp"/>
      <sheetName val="ByPinj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23"/>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hDeb00"/>
    </sheetNames>
    <sheetDataSet>
      <sheetData sheetId="0" refreshError="1"/>
    </sheetDataSet>
  </externalBook>
</externalLink>
</file>

<file path=xl/theme/theme1.xml><?xml version="1.0" encoding="utf-8"?>
<a:theme xmlns:a="http://schemas.openxmlformats.org/drawingml/2006/main" name="GoldStandard-theme">
  <a:themeElements>
    <a:clrScheme name="GS Color Palette">
      <a:dk1>
        <a:srgbClr val="323232"/>
      </a:dk1>
      <a:lt1>
        <a:srgbClr val="FFFFFF"/>
      </a:lt1>
      <a:dk2>
        <a:srgbClr val="323232"/>
      </a:dk2>
      <a:lt2>
        <a:srgbClr val="E6E5E5"/>
      </a:lt2>
      <a:accent1>
        <a:srgbClr val="00B9BD"/>
      </a:accent1>
      <a:accent2>
        <a:srgbClr val="109B9D"/>
      </a:accent2>
      <a:accent3>
        <a:srgbClr val="097E80"/>
      </a:accent3>
      <a:accent4>
        <a:srgbClr val="D6DF40"/>
      </a:accent4>
      <a:accent5>
        <a:srgbClr val="C1CC3A"/>
      </a:accent5>
      <a:accent6>
        <a:srgbClr val="AFB936"/>
      </a:accent6>
      <a:hlink>
        <a:srgbClr val="00B9BD"/>
      </a:hlink>
      <a:folHlink>
        <a:srgbClr val="D3D4D6"/>
      </a:folHlink>
    </a:clrScheme>
    <a:fontScheme name="Consolas-Verdana">
      <a:majorFont>
        <a:latin typeface="Consolas" panose="020B0609020204030204"/>
        <a:ea typeface=""/>
        <a:cs typeface=""/>
        <a:font script="Jpan" typeface="HG丸ｺﾞｼｯｸM-PRO"/>
        <a:font script="Hang" typeface="HY중고딕"/>
        <a:font script="Hans" typeface="华文楷体"/>
        <a:font script="Hant" typeface="新細明體"/>
        <a:font script="Arab" typeface="Tahoma"/>
        <a:font script="Hebr" typeface="Levenim MT"/>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Verdana" panose="020B0604030504040204"/>
        <a:ea typeface=""/>
        <a:cs typeface=""/>
        <a:font script="Jpan" typeface="ＭＳ ゴシック"/>
        <a:font script="Hang" typeface="굴림"/>
        <a:font script="Hans" typeface="微软雅黑"/>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txDef>
      <a:spPr/>
      <a:bodyPr anchor="t"/>
      <a:lstStyle>
        <a:defPPr>
          <a:defRPr smtClean="0"/>
        </a:defPPr>
      </a:lstStyle>
    </a:txDef>
  </a:objectDefaults>
  <a:extraClrSchemeLst/>
  <a:extLst>
    <a:ext uri="{05A4C25C-085E-4340-85A3-A5531E510DB2}">
      <thm15:themeFamily xmlns:thm15="http://schemas.microsoft.com/office/thememl/2012/main" name="GoldStandard-theme" id="{C3C0133F-91A4-A34E-8107-A847F79FECF6}" vid="{FF31AA08-87F0-7741-A8F4-7506A7B45B00}"/>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9645F-C253-4282-9A81-86C0EB6AA0A6}">
  <sheetPr codeName="Sheet1">
    <tabColor theme="4"/>
  </sheetPr>
  <dimension ref="B1:M44"/>
  <sheetViews>
    <sheetView showGridLines="0" tabSelected="1" zoomScale="70" zoomScaleNormal="70" workbookViewId="0">
      <pane xSplit="4" ySplit="14" topLeftCell="E31" activePane="bottomRight" state="frozen"/>
      <selection pane="topRight" activeCell="E1" sqref="E1"/>
      <selection pane="bottomLeft" activeCell="A9" sqref="A9"/>
      <selection pane="bottomRight" activeCell="B3" sqref="B3"/>
    </sheetView>
  </sheetViews>
  <sheetFormatPr defaultColWidth="9" defaultRowHeight="14.25"/>
  <cols>
    <col min="1" max="1" width="2.125" style="1" customWidth="1"/>
    <col min="2" max="2" width="17.125" style="1" customWidth="1"/>
    <col min="3" max="3" width="17.875" style="1" customWidth="1"/>
    <col min="4" max="4" width="35.375" style="1" customWidth="1"/>
    <col min="5" max="5" width="20.875" style="1" customWidth="1"/>
    <col min="6" max="6" width="17.875" style="1" customWidth="1"/>
    <col min="7" max="7" width="20.125" style="1" customWidth="1"/>
    <col min="8" max="8" width="28.875" style="1" customWidth="1"/>
    <col min="9" max="16384" width="9" style="1"/>
  </cols>
  <sheetData>
    <row r="1" spans="2:13" ht="2.25" customHeight="1"/>
    <row r="2" spans="2:13" s="32" customFormat="1" ht="99" customHeight="1"/>
    <row r="3" spans="2:13" s="32" customFormat="1" ht="39.950000000000003" customHeight="1">
      <c r="B3" s="33" t="s">
        <v>151</v>
      </c>
    </row>
    <row r="4" spans="2:13" s="32" customFormat="1" ht="24.95" customHeight="1">
      <c r="B4" s="34"/>
    </row>
    <row r="5" spans="2:13" s="32" customFormat="1" ht="21.95" customHeight="1"/>
    <row r="6" spans="2:13" s="2" customFormat="1" ht="24.75" customHeight="1">
      <c r="B6" s="26" t="s">
        <v>0</v>
      </c>
      <c r="C6" s="25"/>
      <c r="D6" s="25"/>
      <c r="E6" s="25"/>
      <c r="F6" s="25"/>
      <c r="G6" s="25"/>
      <c r="H6" s="25"/>
    </row>
    <row r="7" spans="2:13" ht="14.25" customHeight="1">
      <c r="B7" s="3" t="s">
        <v>1</v>
      </c>
      <c r="C7" s="4" t="s">
        <v>2</v>
      </c>
      <c r="D7" s="3"/>
      <c r="E7" s="3"/>
      <c r="F7" s="3"/>
      <c r="G7" s="3"/>
      <c r="H7" s="3"/>
    </row>
    <row r="8" spans="2:13" ht="14.25" customHeight="1">
      <c r="B8" s="5" t="s">
        <v>3</v>
      </c>
      <c r="C8" s="6" t="s">
        <v>4</v>
      </c>
      <c r="D8" s="5"/>
      <c r="E8" s="5"/>
      <c r="F8" s="5"/>
      <c r="G8" s="5"/>
      <c r="H8" s="5"/>
    </row>
    <row r="9" spans="2:13" ht="14.25" customHeight="1">
      <c r="B9" s="4" t="s">
        <v>5</v>
      </c>
      <c r="C9" s="7" t="s">
        <v>183</v>
      </c>
      <c r="D9" s="3"/>
      <c r="E9" s="3"/>
      <c r="F9" s="3"/>
      <c r="G9" s="3"/>
      <c r="H9" s="3"/>
    </row>
    <row r="10" spans="2:13" ht="14.25" customHeight="1">
      <c r="B10" s="5" t="s">
        <v>6</v>
      </c>
      <c r="C10" s="8">
        <v>44683</v>
      </c>
      <c r="D10" s="5"/>
      <c r="E10" s="5"/>
      <c r="F10" s="5"/>
      <c r="G10" s="5"/>
      <c r="H10" s="5"/>
    </row>
    <row r="11" spans="2:13" ht="14.25" customHeight="1">
      <c r="B11" s="3" t="s">
        <v>7</v>
      </c>
      <c r="C11" s="7" t="s">
        <v>8</v>
      </c>
      <c r="D11" s="3"/>
      <c r="E11" s="3"/>
      <c r="F11" s="3"/>
      <c r="G11" s="3"/>
      <c r="H11" s="3"/>
      <c r="L11" s="24"/>
      <c r="M11" s="24"/>
    </row>
    <row r="12" spans="2:13" ht="46.5" customHeight="1">
      <c r="B12" s="3"/>
      <c r="C12" s="123" t="s">
        <v>9</v>
      </c>
      <c r="D12" s="123"/>
      <c r="E12" s="123"/>
      <c r="F12" s="123"/>
      <c r="G12" s="123"/>
      <c r="H12" s="123"/>
      <c r="L12" s="24"/>
      <c r="M12" s="24"/>
    </row>
    <row r="13" spans="2:13">
      <c r="L13" s="24"/>
      <c r="M13" s="24"/>
    </row>
    <row r="14" spans="2:13" ht="15.75">
      <c r="B14" s="27" t="s">
        <v>10</v>
      </c>
      <c r="C14" s="28"/>
      <c r="D14" s="28"/>
      <c r="E14" s="29"/>
      <c r="F14" s="30"/>
      <c r="G14" s="30"/>
      <c r="H14" s="30"/>
      <c r="L14" s="24"/>
      <c r="M14" s="24"/>
    </row>
    <row r="15" spans="2:13" ht="15.75">
      <c r="B15" s="9" t="s">
        <v>11</v>
      </c>
      <c r="C15" s="9"/>
      <c r="D15" s="110" t="s">
        <v>12</v>
      </c>
      <c r="E15" s="9" t="s">
        <v>13</v>
      </c>
      <c r="F15" s="10"/>
      <c r="G15" s="10"/>
      <c r="H15" s="10"/>
      <c r="L15" s="24"/>
      <c r="M15" s="24"/>
    </row>
    <row r="16" spans="2:13" ht="15.75">
      <c r="B16" s="11" t="s">
        <v>14</v>
      </c>
      <c r="C16" s="11"/>
      <c r="D16" s="111" t="s">
        <v>15</v>
      </c>
      <c r="E16" s="11" t="s">
        <v>16</v>
      </c>
      <c r="F16" s="12"/>
      <c r="G16" s="12"/>
      <c r="H16" s="12"/>
      <c r="L16" s="24"/>
      <c r="M16" s="24"/>
    </row>
    <row r="17" spans="2:13" ht="15.75">
      <c r="B17" s="9" t="s">
        <v>17</v>
      </c>
      <c r="C17" s="9"/>
      <c r="D17" s="9" t="s">
        <v>18</v>
      </c>
      <c r="E17" s="9"/>
      <c r="F17" s="10"/>
      <c r="G17" s="10"/>
      <c r="H17" s="10"/>
    </row>
    <row r="18" spans="2:13" ht="15.75">
      <c r="B18" s="11" t="s">
        <v>19</v>
      </c>
      <c r="C18" s="11"/>
      <c r="D18" s="112">
        <v>44509</v>
      </c>
      <c r="E18" s="11" t="s">
        <v>20</v>
      </c>
      <c r="F18" s="12"/>
      <c r="G18" s="12"/>
      <c r="H18" s="12"/>
    </row>
    <row r="19" spans="2:13" ht="15.75">
      <c r="B19" s="9" t="s">
        <v>21</v>
      </c>
      <c r="C19" s="9"/>
      <c r="D19" s="112">
        <v>45217</v>
      </c>
      <c r="E19" s="9" t="s">
        <v>22</v>
      </c>
      <c r="F19" s="10"/>
      <c r="G19" s="10"/>
      <c r="H19" s="23" t="str">
        <f>IF(D19&lt;D18,"CP start date must be after Project start date! Please check again!","")</f>
        <v/>
      </c>
    </row>
    <row r="20" spans="2:13" ht="15.75">
      <c r="B20" s="11" t="s">
        <v>23</v>
      </c>
      <c r="C20" s="11"/>
      <c r="D20" s="13">
        <f>IF(LEFT(D17,1)="5",DATE(YEAR(D19)+5,MONTH(D19),DAY(D19))-1,DATE(YEAR(D19)+10,MONTH(D19),DAY(D19))-1)</f>
        <v>47043</v>
      </c>
      <c r="E20" s="11" t="s">
        <v>24</v>
      </c>
      <c r="F20" s="12"/>
      <c r="G20" s="12"/>
      <c r="H20" s="12"/>
    </row>
    <row r="21" spans="2:13" ht="15.75">
      <c r="B21" s="9" t="s">
        <v>25</v>
      </c>
      <c r="C21" s="9"/>
      <c r="D21" s="111" t="s">
        <v>26</v>
      </c>
      <c r="E21" s="9" t="s">
        <v>27</v>
      </c>
      <c r="F21" s="10"/>
      <c r="G21" s="10"/>
      <c r="H21" s="10"/>
    </row>
    <row r="22" spans="2:13" ht="15.75">
      <c r="B22" s="11" t="s">
        <v>28</v>
      </c>
      <c r="C22" s="11"/>
      <c r="D22" s="111" t="s">
        <v>29</v>
      </c>
      <c r="E22" s="11" t="s">
        <v>30</v>
      </c>
      <c r="F22" s="12"/>
      <c r="G22" s="12"/>
      <c r="H22" s="12"/>
    </row>
    <row r="23" spans="2:13" ht="30" customHeight="1">
      <c r="B23" s="11" t="s">
        <v>31</v>
      </c>
      <c r="C23" s="11"/>
      <c r="D23" s="113" t="s">
        <v>32</v>
      </c>
      <c r="E23" s="124" t="s">
        <v>33</v>
      </c>
      <c r="F23" s="124"/>
      <c r="G23" s="124"/>
      <c r="H23" s="124"/>
    </row>
    <row r="24" spans="2:13" ht="15.75">
      <c r="B24" s="14" t="s">
        <v>34</v>
      </c>
      <c r="C24" s="14"/>
      <c r="D24" s="110">
        <v>5</v>
      </c>
      <c r="E24" s="9" t="s">
        <v>35</v>
      </c>
      <c r="F24" s="10"/>
      <c r="G24" s="10"/>
      <c r="H24" s="10"/>
      <c r="L24" s="24"/>
      <c r="M24" s="24"/>
    </row>
    <row r="25" spans="2:13">
      <c r="L25" s="24"/>
      <c r="M25" s="24"/>
    </row>
    <row r="26" spans="2:13" ht="15">
      <c r="B26" s="31" t="s">
        <v>36</v>
      </c>
      <c r="C26" s="31"/>
      <c r="D26" s="31"/>
      <c r="E26" s="31"/>
      <c r="F26" s="31"/>
      <c r="G26" s="31"/>
      <c r="H26" s="31"/>
    </row>
    <row r="27" spans="2:13" s="15" customFormat="1" ht="42.75">
      <c r="B27" s="35" t="s">
        <v>37</v>
      </c>
      <c r="C27" s="35" t="s">
        <v>38</v>
      </c>
      <c r="D27" s="35" t="s">
        <v>39</v>
      </c>
      <c r="E27" s="36" t="s">
        <v>40</v>
      </c>
      <c r="F27" s="36" t="s">
        <v>41</v>
      </c>
      <c r="G27" s="36" t="s">
        <v>42</v>
      </c>
      <c r="H27" s="36" t="s">
        <v>43</v>
      </c>
    </row>
    <row r="28" spans="2:13">
      <c r="B28" s="16" t="s">
        <v>44</v>
      </c>
      <c r="C28" s="17">
        <f>+Cover!D19</f>
        <v>45217</v>
      </c>
      <c r="D28" s="17">
        <f t="shared" ref="D28:D32" si="0">+DATE(YEAR(C28)+1,MONTH(C28),DAY(C28))-1</f>
        <v>45582</v>
      </c>
      <c r="E28" s="18">
        <f>SUMIFS(ER!G:G,ER!$B:$B,"&gt;="&amp;Cover!$C28,ER!$C:$C,"&lt;="&amp;Cover!$D28)</f>
        <v>17408.273003925187</v>
      </c>
      <c r="F28" s="18">
        <f>SUMIFS(ER!H:H,ER!$B:$B,"&gt;="&amp;Cover!$C28,ER!$C:$C,"&lt;="&amp;Cover!$D28)</f>
        <v>5953.6293673424152</v>
      </c>
      <c r="G28" s="18">
        <f>SUMIFS(ER!I:I,ER!$B:$B,"&gt;="&amp;Cover!$C28,ER!$C:$C,"&lt;="&amp;Cover!$D28)</f>
        <v>870.41365019626016</v>
      </c>
      <c r="H28" s="18">
        <f>+E28-F28-G28</f>
        <v>10584.229986386512</v>
      </c>
    </row>
    <row r="29" spans="2:13">
      <c r="B29" s="19" t="s">
        <v>45</v>
      </c>
      <c r="C29" s="20">
        <f t="shared" ref="C29:C32" si="1">+D28+1</f>
        <v>45583</v>
      </c>
      <c r="D29" s="20">
        <f t="shared" si="0"/>
        <v>45947</v>
      </c>
      <c r="E29" s="21">
        <f>SUMIFS(ER!G:G,ER!$B:$B,"&gt;="&amp;Cover!$C29,ER!$C:$C,"&lt;="&amp;Cover!$D29)</f>
        <v>24738.072163472636</v>
      </c>
      <c r="F29" s="21">
        <f>SUMIFS(ER!H:H,ER!$B:$B,"&gt;="&amp;Cover!$C29,ER!$C:$C,"&lt;="&amp;Cover!$D29)</f>
        <v>8460.4206799076419</v>
      </c>
      <c r="G29" s="21">
        <f>SUMIFS(ER!I:I,ER!$B:$B,"&gt;="&amp;Cover!$C29,ER!$C:$C,"&lt;="&amp;Cover!$D29)</f>
        <v>1236.9036081736328</v>
      </c>
      <c r="H29" s="21">
        <f t="shared" ref="H29:H32" si="2">+E29-F29-G29</f>
        <v>15040.747875391362</v>
      </c>
    </row>
    <row r="30" spans="2:13">
      <c r="B30" s="16" t="s">
        <v>46</v>
      </c>
      <c r="C30" s="17">
        <f t="shared" si="1"/>
        <v>45948</v>
      </c>
      <c r="D30" s="17">
        <f t="shared" si="0"/>
        <v>46312</v>
      </c>
      <c r="E30" s="18">
        <f>SUMIFS(ER!G:G,ER!$B:$B,"&gt;="&amp;Cover!$C30,ER!$C:$C,"&lt;="&amp;Cover!$D30)</f>
        <v>32067.871323020085</v>
      </c>
      <c r="F30" s="18">
        <f>SUMIFS(ER!H:H,ER!$B:$B,"&gt;="&amp;Cover!$C30,ER!$C:$C,"&lt;="&amp;Cover!$D30)</f>
        <v>10967.211992472869</v>
      </c>
      <c r="G30" s="18">
        <f>SUMIFS(ER!I:I,ER!$B:$B,"&gt;="&amp;Cover!$C30,ER!$C:$C,"&lt;="&amp;Cover!$D30)</f>
        <v>1603.3935661510054</v>
      </c>
      <c r="H30" s="18">
        <f t="shared" si="2"/>
        <v>19497.265764396212</v>
      </c>
    </row>
    <row r="31" spans="2:13">
      <c r="B31" s="19" t="s">
        <v>47</v>
      </c>
      <c r="C31" s="20">
        <f t="shared" si="1"/>
        <v>46313</v>
      </c>
      <c r="D31" s="20">
        <f t="shared" si="0"/>
        <v>46677</v>
      </c>
      <c r="E31" s="21">
        <f>SUMIFS(ER!G:G,ER!$B:$B,"&gt;="&amp;Cover!$C31,ER!$C:$C,"&lt;="&amp;Cover!$D31)</f>
        <v>39397.670482567526</v>
      </c>
      <c r="F31" s="21">
        <f>SUMIFS(ER!H:H,ER!$B:$B,"&gt;="&amp;Cover!$C31,ER!$C:$C,"&lt;="&amp;Cover!$D31)</f>
        <v>13474.003305038097</v>
      </c>
      <c r="G31" s="21">
        <f>SUMIFS(ER!I:I,ER!$B:$B,"&gt;="&amp;Cover!$C31,ER!$C:$C,"&lt;="&amp;Cover!$D31)</f>
        <v>1969.8835241283782</v>
      </c>
      <c r="H31" s="21">
        <f t="shared" si="2"/>
        <v>23953.783653401053</v>
      </c>
    </row>
    <row r="32" spans="2:13">
      <c r="B32" s="16" t="s">
        <v>48</v>
      </c>
      <c r="C32" s="17">
        <f t="shared" si="1"/>
        <v>46678</v>
      </c>
      <c r="D32" s="17">
        <f t="shared" si="0"/>
        <v>47043</v>
      </c>
      <c r="E32" s="18">
        <f>SUMIFS(ER!G:G,ER!$B:$B,"&gt;="&amp;Cover!$C32,ER!$C:$C,"&lt;="&amp;Cover!$D32)</f>
        <v>46727.469642114964</v>
      </c>
      <c r="F32" s="18">
        <f>SUMIFS(ER!H:H,ER!$B:$B,"&gt;="&amp;Cover!$C32,ER!$C:$C,"&lt;="&amp;Cover!$D32)</f>
        <v>15980.794617603326</v>
      </c>
      <c r="G32" s="18">
        <f>SUMIFS(ER!I:I,ER!$B:$B,"&gt;="&amp;Cover!$C32,ER!$C:$C,"&lt;="&amp;Cover!$D32)</f>
        <v>2336.373482105751</v>
      </c>
      <c r="H32" s="18">
        <f t="shared" si="2"/>
        <v>28410.301542405887</v>
      </c>
    </row>
    <row r="33" spans="2:8">
      <c r="B33" s="37" t="s">
        <v>49</v>
      </c>
      <c r="C33" s="37"/>
      <c r="D33" s="37"/>
      <c r="E33" s="38">
        <f>SUM(E28:E32)/COUNTIF(E28:E32,"&gt;0")</f>
        <v>32067.871323020081</v>
      </c>
      <c r="F33" s="38">
        <f>IF(ISERROR((SUM(F28:F32)/COUNTIF(F28:F32,"&gt;0"))),0,(SUM(F28:F32)/COUNTIF(F28:F32,"&gt;0")))</f>
        <v>10967.21199247287</v>
      </c>
      <c r="G33" s="38">
        <f>SUM(G28:G32)/COUNTIF(G28:G32,"&gt;0")</f>
        <v>1603.3935661510054</v>
      </c>
      <c r="H33" s="38">
        <f>SUM(H28:H32)/COUNTIF(H28:H32,"&gt;0")</f>
        <v>19497.265764396205</v>
      </c>
    </row>
    <row r="37" spans="2:8">
      <c r="C37" s="22"/>
      <c r="D37" s="22"/>
    </row>
    <row r="44" spans="2:8" ht="133.5" customHeight="1">
      <c r="B44" s="128" t="s">
        <v>184</v>
      </c>
      <c r="C44" s="128"/>
      <c r="D44" s="128"/>
      <c r="E44" s="128"/>
      <c r="F44" s="128"/>
      <c r="G44" s="128"/>
      <c r="H44" s="128"/>
    </row>
  </sheetData>
  <sheetProtection algorithmName="SHA-512" hashValue="C2LMt63GbaXQw4GLlTYWqnM/xd9Aj75MmJIbn/3WbgNDBEfipqT/+uVxsLdcp84QqR9d8tDDqG3Ggj3TUlvBKA==" saltValue="FTCxD02y9W0omxTzMeIdEw==" spinCount="100000" sheet="1" objects="1" scenarios="1"/>
  <mergeCells count="3">
    <mergeCell ref="C12:H12"/>
    <mergeCell ref="E23:H23"/>
    <mergeCell ref="B44:H44"/>
  </mergeCells>
  <conditionalFormatting sqref="B6">
    <cfRule type="expression" dxfId="0" priority="1">
      <formula>IF(ISERROR(FIND($E$8,$Z6)),1,0)</formula>
    </cfRule>
  </conditionalFormatting>
  <dataValidations count="2">
    <dataValidation type="list" allowBlank="1" showInputMessage="1" showErrorMessage="1" sqref="D24" xr:uid="{A6495747-3F1B-495F-84D3-FB17A8869F70}">
      <formula1>"1,2,3,4,5,6,7,8,9,10,11,12,13,14,15"</formula1>
    </dataValidation>
    <dataValidation type="list" allowBlank="1" showInputMessage="1" showErrorMessage="1" sqref="D23" xr:uid="{AAB8B85A-2193-4D59-9D14-47234A3F0AE9}">
      <formula1>"Electricity, Fossil fuel, Renewable fuel"</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6C504-2466-4C7C-9043-48DB4A3D2CE1}">
  <sheetPr codeName="Sheet2">
    <tabColor theme="6"/>
  </sheetPr>
  <dimension ref="A1:H65"/>
  <sheetViews>
    <sheetView showGridLines="0" zoomScale="70" zoomScaleNormal="70" workbookViewId="0">
      <pane xSplit="5" ySplit="4" topLeftCell="F5" activePane="bottomRight" state="frozen"/>
      <selection activeCell="F49" sqref="F49"/>
      <selection pane="topRight" activeCell="F49" sqref="F49"/>
      <selection pane="bottomLeft" activeCell="F49" sqref="F49"/>
      <selection pane="bottomRight" activeCell="F39" activeCellId="5" sqref="F8:F10 F13:F18 F27 F29:F31 F33:F35 F39:F41"/>
    </sheetView>
  </sheetViews>
  <sheetFormatPr defaultColWidth="9" defaultRowHeight="14.25"/>
  <cols>
    <col min="1" max="1" width="5" style="43" customWidth="1"/>
    <col min="2" max="2" width="15.875" style="43" customWidth="1"/>
    <col min="3" max="3" width="4.625" style="43" customWidth="1"/>
    <col min="4" max="4" width="63.5" style="43" customWidth="1"/>
    <col min="5" max="5" width="9" style="43"/>
    <col min="6" max="6" width="15.5" style="42" bestFit="1" customWidth="1"/>
    <col min="7" max="7" width="20.75" style="43" customWidth="1"/>
    <col min="8" max="8" width="48.5" style="43" customWidth="1"/>
    <col min="9" max="9" width="15" style="42" customWidth="1"/>
    <col min="10" max="16384" width="9" style="42"/>
  </cols>
  <sheetData>
    <row r="1" spans="1:8" s="40" customFormat="1">
      <c r="A1" s="39"/>
      <c r="B1" s="39" t="s">
        <v>50</v>
      </c>
      <c r="C1" s="39"/>
      <c r="D1" s="39" t="s">
        <v>51</v>
      </c>
      <c r="E1" s="39" t="s">
        <v>52</v>
      </c>
      <c r="F1" s="39" t="s">
        <v>53</v>
      </c>
      <c r="G1" s="39" t="s">
        <v>54</v>
      </c>
      <c r="H1" s="39" t="s">
        <v>55</v>
      </c>
    </row>
    <row r="2" spans="1:8">
      <c r="A2" s="41"/>
      <c r="B2" s="41" t="s">
        <v>56</v>
      </c>
      <c r="C2" s="41"/>
      <c r="D2" s="41"/>
      <c r="E2" s="41"/>
      <c r="F2" s="41"/>
      <c r="G2" s="41"/>
      <c r="H2" s="41"/>
    </row>
    <row r="3" spans="1:8">
      <c r="F3" s="44"/>
    </row>
    <row r="4" spans="1:8">
      <c r="A4" s="45" t="s">
        <v>57</v>
      </c>
      <c r="B4" s="46"/>
      <c r="E4" s="43" t="s">
        <v>58</v>
      </c>
      <c r="H4" s="47"/>
    </row>
    <row r="5" spans="1:8">
      <c r="F5" s="44"/>
    </row>
    <row r="6" spans="1:8" ht="21.75" customHeight="1">
      <c r="C6" s="43" t="s">
        <v>59</v>
      </c>
      <c r="D6" s="43" t="s">
        <v>152</v>
      </c>
      <c r="F6" s="48" cm="1">
        <f t="array" ref="F6">SUMPRODUCT(F8:F10,(F19:F21)+F22:F24,F39:F41)/SUMPRODUCT(F8:F10,F29:F31,F33:F35,F39:F41)</f>
        <v>1018.0276610482566</v>
      </c>
      <c r="G6" s="49" t="s">
        <v>153</v>
      </c>
    </row>
    <row r="7" spans="1:8" ht="21.75" customHeight="1">
      <c r="C7" s="43" t="s">
        <v>59</v>
      </c>
      <c r="D7" s="43" t="s">
        <v>154</v>
      </c>
      <c r="F7" s="44"/>
      <c r="H7" s="50"/>
    </row>
    <row r="8" spans="1:8" ht="21.75" customHeight="1">
      <c r="D8" s="51" t="s">
        <v>60</v>
      </c>
      <c r="F8" s="114">
        <f>5*365/1000</f>
        <v>1.825</v>
      </c>
      <c r="G8" s="43" t="s">
        <v>61</v>
      </c>
      <c r="H8" s="44" t="s">
        <v>62</v>
      </c>
    </row>
    <row r="9" spans="1:8" ht="21.75" customHeight="1">
      <c r="D9" s="51" t="s">
        <v>63</v>
      </c>
      <c r="F9" s="114">
        <f>1*365/1000</f>
        <v>0.36499999999999999</v>
      </c>
      <c r="G9" s="43" t="s">
        <v>61</v>
      </c>
      <c r="H9" s="43" t="s">
        <v>64</v>
      </c>
    </row>
    <row r="10" spans="1:8" ht="21.75" customHeight="1">
      <c r="D10" s="51" t="s">
        <v>65</v>
      </c>
      <c r="F10" s="114">
        <f>0.1*365/1000</f>
        <v>3.6499999999999998E-2</v>
      </c>
      <c r="G10" s="43" t="s">
        <v>61</v>
      </c>
      <c r="H10" s="43" t="s">
        <v>66</v>
      </c>
    </row>
    <row r="11" spans="1:8" ht="21.75" customHeight="1">
      <c r="F11" s="43"/>
    </row>
    <row r="12" spans="1:8" ht="21.75" customHeight="1">
      <c r="C12" s="43" t="s">
        <v>59</v>
      </c>
      <c r="D12" s="43" t="s">
        <v>155</v>
      </c>
      <c r="F12" s="43"/>
      <c r="H12" s="50"/>
    </row>
    <row r="13" spans="1:8" ht="21.75" customHeight="1">
      <c r="D13" s="51" t="s">
        <v>156</v>
      </c>
      <c r="F13" s="115">
        <v>112</v>
      </c>
      <c r="G13" s="49" t="s">
        <v>157</v>
      </c>
      <c r="H13" s="50" t="s">
        <v>67</v>
      </c>
    </row>
    <row r="14" spans="1:8" ht="21.75" customHeight="1">
      <c r="D14" s="51" t="s">
        <v>158</v>
      </c>
      <c r="F14" s="115">
        <v>165.22</v>
      </c>
      <c r="G14" s="49" t="s">
        <v>157</v>
      </c>
      <c r="H14" s="50" t="s">
        <v>68</v>
      </c>
    </row>
    <row r="15" spans="1:8" ht="21.75" customHeight="1">
      <c r="D15" s="51" t="s">
        <v>159</v>
      </c>
      <c r="F15" s="115">
        <v>63.1</v>
      </c>
      <c r="G15" s="49" t="s">
        <v>157</v>
      </c>
      <c r="H15" s="50" t="s">
        <v>67</v>
      </c>
    </row>
    <row r="16" spans="1:8" ht="21.75" customHeight="1">
      <c r="D16" s="51" t="s">
        <v>69</v>
      </c>
      <c r="F16" s="115">
        <v>9.4600000000000009</v>
      </c>
      <c r="G16" s="49" t="s">
        <v>160</v>
      </c>
      <c r="H16" s="50" t="s">
        <v>68</v>
      </c>
    </row>
    <row r="17" spans="2:8" ht="21.75" customHeight="1">
      <c r="D17" s="51" t="s">
        <v>70</v>
      </c>
      <c r="F17" s="115">
        <v>44.83</v>
      </c>
      <c r="G17" s="49" t="s">
        <v>160</v>
      </c>
      <c r="H17" s="50" t="s">
        <v>68</v>
      </c>
    </row>
    <row r="18" spans="2:8" ht="21.75" customHeight="1">
      <c r="D18" s="51" t="s">
        <v>71</v>
      </c>
      <c r="F18" s="115">
        <v>0</v>
      </c>
      <c r="G18" s="49" t="s">
        <v>160</v>
      </c>
      <c r="H18" s="44" t="s">
        <v>72</v>
      </c>
    </row>
    <row r="19" spans="2:8" ht="21.75" customHeight="1">
      <c r="D19" s="51" t="s">
        <v>156</v>
      </c>
      <c r="F19" s="52">
        <f>+F13*F29*F27</f>
        <v>1.5724799999999999</v>
      </c>
      <c r="G19" s="49" t="s">
        <v>161</v>
      </c>
      <c r="H19" s="50" t="s">
        <v>182</v>
      </c>
    </row>
    <row r="20" spans="2:8" ht="21.75" customHeight="1">
      <c r="D20" s="51" t="s">
        <v>158</v>
      </c>
      <c r="F20" s="52">
        <f>+F14*F30*F27</f>
        <v>4.3865910000000001</v>
      </c>
      <c r="G20" s="49" t="s">
        <v>161</v>
      </c>
      <c r="H20" s="50" t="s">
        <v>182</v>
      </c>
    </row>
    <row r="21" spans="2:8" ht="21.75" customHeight="1">
      <c r="D21" s="51" t="s">
        <v>159</v>
      </c>
      <c r="F21" s="52">
        <f>+F15*F31</f>
        <v>2.9846300000000001</v>
      </c>
      <c r="G21" s="49" t="s">
        <v>161</v>
      </c>
      <c r="H21" s="50" t="s">
        <v>73</v>
      </c>
    </row>
    <row r="22" spans="2:8" ht="21.75" customHeight="1">
      <c r="D22" s="51" t="s">
        <v>69</v>
      </c>
      <c r="F22" s="52">
        <f>+F16*F29</f>
        <v>0.14757600000000001</v>
      </c>
      <c r="G22" s="49" t="s">
        <v>162</v>
      </c>
      <c r="H22" s="50" t="s">
        <v>73</v>
      </c>
    </row>
    <row r="23" spans="2:8" ht="21.75" customHeight="1">
      <c r="D23" s="51" t="s">
        <v>70</v>
      </c>
      <c r="F23" s="52">
        <f>+F17*F30</f>
        <v>1.3224849999999999</v>
      </c>
      <c r="G23" s="49" t="s">
        <v>162</v>
      </c>
      <c r="H23" s="50" t="s">
        <v>73</v>
      </c>
    </row>
    <row r="24" spans="2:8" ht="21.75" customHeight="1">
      <c r="D24" s="51" t="s">
        <v>71</v>
      </c>
      <c r="F24" s="52">
        <f>+F18*F31</f>
        <v>0</v>
      </c>
      <c r="G24" s="49" t="s">
        <v>162</v>
      </c>
      <c r="H24" s="50" t="s">
        <v>73</v>
      </c>
    </row>
    <row r="25" spans="2:8" ht="21.75" customHeight="1">
      <c r="D25" s="49"/>
      <c r="F25" s="43"/>
      <c r="G25" s="49"/>
      <c r="H25" s="50"/>
    </row>
    <row r="26" spans="2:8" ht="21.75" customHeight="1">
      <c r="B26" s="49"/>
      <c r="D26" s="53"/>
      <c r="F26" s="54"/>
      <c r="G26" s="49"/>
      <c r="H26" s="50"/>
    </row>
    <row r="27" spans="2:8" ht="21.75" customHeight="1">
      <c r="B27" s="49"/>
      <c r="C27" s="45" t="s">
        <v>59</v>
      </c>
      <c r="D27" s="43" t="s">
        <v>74</v>
      </c>
      <c r="F27" s="115">
        <v>0.9</v>
      </c>
      <c r="G27" s="49" t="s">
        <v>75</v>
      </c>
      <c r="H27" s="50" t="s">
        <v>76</v>
      </c>
    </row>
    <row r="28" spans="2:8" ht="21.75" customHeight="1">
      <c r="C28" s="43" t="s">
        <v>59</v>
      </c>
      <c r="D28" s="43" t="s">
        <v>163</v>
      </c>
      <c r="F28" s="44"/>
    </row>
    <row r="29" spans="2:8" ht="30" customHeight="1">
      <c r="D29" s="51" t="s">
        <v>164</v>
      </c>
      <c r="F29" s="116">
        <v>1.5599999999999999E-2</v>
      </c>
      <c r="G29" s="49" t="s">
        <v>77</v>
      </c>
      <c r="H29" s="50" t="s">
        <v>67</v>
      </c>
    </row>
    <row r="30" spans="2:8" ht="30" customHeight="1">
      <c r="D30" s="51" t="s">
        <v>165</v>
      </c>
      <c r="F30" s="116">
        <v>2.9499999999999998E-2</v>
      </c>
      <c r="G30" s="49" t="s">
        <v>77</v>
      </c>
      <c r="H30" s="50" t="s">
        <v>67</v>
      </c>
    </row>
    <row r="31" spans="2:8" ht="21.75" customHeight="1">
      <c r="D31" s="51" t="s">
        <v>166</v>
      </c>
      <c r="F31" s="116">
        <v>4.7300000000000002E-2</v>
      </c>
      <c r="G31" s="49" t="s">
        <v>77</v>
      </c>
      <c r="H31" s="50" t="s">
        <v>67</v>
      </c>
    </row>
    <row r="32" spans="2:8" ht="21.75" customHeight="1">
      <c r="C32" s="43" t="s">
        <v>59</v>
      </c>
      <c r="D32" s="43" t="s">
        <v>167</v>
      </c>
      <c r="F32" s="44"/>
      <c r="H32" s="42"/>
    </row>
    <row r="33" spans="1:8" ht="21.75" customHeight="1">
      <c r="B33" s="55"/>
      <c r="D33" s="51" t="s">
        <v>78</v>
      </c>
      <c r="F33" s="117">
        <v>0.1</v>
      </c>
      <c r="G33" s="49" t="s">
        <v>75</v>
      </c>
      <c r="H33" s="50" t="s">
        <v>79</v>
      </c>
    </row>
    <row r="34" spans="1:8" ht="21.75" customHeight="1">
      <c r="B34" s="55"/>
      <c r="D34" s="51" t="s">
        <v>80</v>
      </c>
      <c r="F34" s="117">
        <v>0.2</v>
      </c>
      <c r="G34" s="49" t="s">
        <v>75</v>
      </c>
      <c r="H34" s="50" t="s">
        <v>79</v>
      </c>
    </row>
    <row r="35" spans="1:8" ht="21.75" customHeight="1">
      <c r="B35" s="55"/>
      <c r="D35" s="51" t="s">
        <v>81</v>
      </c>
      <c r="F35" s="117">
        <v>0.5</v>
      </c>
      <c r="G35" s="49" t="s">
        <v>75</v>
      </c>
      <c r="H35" s="50" t="s">
        <v>76</v>
      </c>
    </row>
    <row r="36" spans="1:8" ht="21.75" customHeight="1">
      <c r="B36" s="43" t="s">
        <v>82</v>
      </c>
      <c r="C36" s="43" t="s">
        <v>59</v>
      </c>
      <c r="D36" s="43" t="s">
        <v>168</v>
      </c>
      <c r="F36" s="44"/>
    </row>
    <row r="37" spans="1:8" ht="21.75" customHeight="1">
      <c r="B37" s="56" t="s">
        <v>83</v>
      </c>
      <c r="C37" s="43" t="s">
        <v>59</v>
      </c>
      <c r="D37" s="43" t="s">
        <v>169</v>
      </c>
      <c r="F37" s="44"/>
    </row>
    <row r="38" spans="1:8" ht="21.75" customHeight="1">
      <c r="B38" s="56" t="s">
        <v>84</v>
      </c>
      <c r="C38" s="43" t="s">
        <v>59</v>
      </c>
      <c r="D38" s="43" t="s">
        <v>170</v>
      </c>
      <c r="E38" s="46"/>
      <c r="F38" s="44"/>
    </row>
    <row r="39" spans="1:8" ht="21.75" customHeight="1">
      <c r="B39" s="56"/>
      <c r="D39" s="43" t="s">
        <v>85</v>
      </c>
      <c r="E39" s="46"/>
      <c r="F39" s="117">
        <v>0.5</v>
      </c>
      <c r="G39" s="49" t="s">
        <v>75</v>
      </c>
      <c r="H39" s="50" t="s">
        <v>76</v>
      </c>
    </row>
    <row r="40" spans="1:8" ht="21.75" customHeight="1">
      <c r="B40" s="56"/>
      <c r="D40" s="43" t="s">
        <v>86</v>
      </c>
      <c r="E40" s="46"/>
      <c r="F40" s="117">
        <v>0.4</v>
      </c>
      <c r="G40" s="49" t="s">
        <v>75</v>
      </c>
      <c r="H40" s="50" t="s">
        <v>76</v>
      </c>
    </row>
    <row r="41" spans="1:8" ht="21.75" customHeight="1">
      <c r="B41" s="56"/>
      <c r="D41" s="43" t="s">
        <v>87</v>
      </c>
      <c r="E41" s="46"/>
      <c r="F41" s="117">
        <v>0.1</v>
      </c>
      <c r="G41" s="49" t="s">
        <v>75</v>
      </c>
      <c r="H41" s="50" t="s">
        <v>76</v>
      </c>
    </row>
    <row r="42" spans="1:8" ht="21.75" customHeight="1">
      <c r="F42" s="44"/>
    </row>
    <row r="43" spans="1:8">
      <c r="A43" s="41"/>
      <c r="B43" s="41" t="s">
        <v>88</v>
      </c>
      <c r="C43" s="41"/>
      <c r="D43" s="41"/>
      <c r="E43" s="41"/>
      <c r="F43" s="41"/>
      <c r="G43" s="41"/>
      <c r="H43" s="41"/>
    </row>
    <row r="44" spans="1:8" ht="21.75" customHeight="1">
      <c r="E44" s="46" t="s">
        <v>89</v>
      </c>
    </row>
    <row r="45" spans="1:8" ht="21.75" customHeight="1">
      <c r="F45" s="44"/>
    </row>
    <row r="46" spans="1:8" ht="21.75" customHeight="1">
      <c r="C46" s="43" t="s">
        <v>59</v>
      </c>
      <c r="D46" s="43" t="s">
        <v>171</v>
      </c>
      <c r="F46" s="57">
        <f>F49*F48</f>
        <v>6.1081659662895396</v>
      </c>
      <c r="G46" s="58" t="s">
        <v>90</v>
      </c>
    </row>
    <row r="47" spans="1:8" ht="21.75" customHeight="1">
      <c r="F47" s="57">
        <f>+F46/12</f>
        <v>0.5090138305241283</v>
      </c>
      <c r="G47" s="58" t="s">
        <v>91</v>
      </c>
    </row>
    <row r="48" spans="1:8" ht="30.75" customHeight="1">
      <c r="C48" s="43" t="s">
        <v>59</v>
      </c>
      <c r="D48" s="43" t="s">
        <v>92</v>
      </c>
      <c r="F48" s="59">
        <f>IF(Cover!D23="Electricity",PE!F10,IF(Cover!D23="Renewable fuel",PE!F36,PE!F55))</f>
        <v>6.0000000000000001E-3</v>
      </c>
      <c r="G48" s="43" t="s">
        <v>93</v>
      </c>
    </row>
    <row r="49" spans="3:7" ht="21.75" customHeight="1">
      <c r="C49" s="43" t="s">
        <v>59</v>
      </c>
      <c r="D49" s="43" t="s">
        <v>152</v>
      </c>
      <c r="F49" s="60">
        <f>+F6</f>
        <v>1018.0276610482566</v>
      </c>
      <c r="G49" s="43" t="s">
        <v>94</v>
      </c>
    </row>
    <row r="50" spans="3:7" ht="21.75" customHeight="1">
      <c r="F50" s="44"/>
    </row>
    <row r="51" spans="3:7">
      <c r="F51" s="44"/>
    </row>
    <row r="64" spans="3:7">
      <c r="F64" s="44"/>
    </row>
    <row r="65" spans="6:6">
      <c r="F65" s="44"/>
    </row>
  </sheetData>
  <sheetProtection algorithmName="SHA-512" hashValue="SOp5Ah3D0gxG3er63aqkBNhdMWBhqWd70iTOOyCaQE7CZSQvMVVf57IHsdAJsFMlYSBng7aQEgbcVQXwDuJgXA==" saltValue="ln3b625nv7EsB1gkSv068w==" spinCount="100000" sheet="1" objects="1" scenarios="1"/>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0B972-13D1-4FBC-BB4E-4F0B59CA8052}">
  <sheetPr codeName="Sheet3">
    <tabColor theme="6"/>
  </sheetPr>
  <dimension ref="A1:J69"/>
  <sheetViews>
    <sheetView showGridLines="0" zoomScale="90" zoomScaleNormal="90" workbookViewId="0">
      <pane xSplit="3" ySplit="6" topLeftCell="D23" activePane="bottomRight" state="frozen"/>
      <selection activeCell="F49" sqref="F49"/>
      <selection pane="topRight" activeCell="F49" sqref="F49"/>
      <selection pane="bottomLeft" activeCell="F49" sqref="F49"/>
      <selection pane="bottomRight" activeCell="F62" activeCellId="5" sqref="F15:F19 F28:F29 F38:F40 F43:F45 F57:F59 F62:F64"/>
    </sheetView>
  </sheetViews>
  <sheetFormatPr defaultColWidth="9" defaultRowHeight="14.25"/>
  <cols>
    <col min="1" max="1" width="5" style="43" customWidth="1"/>
    <col min="2" max="2" width="19.125" style="43" customWidth="1"/>
    <col min="3" max="3" width="4.625" style="43" customWidth="1"/>
    <col min="4" max="4" width="63.5" style="43" customWidth="1"/>
    <col min="5" max="5" width="9" style="43"/>
    <col min="6" max="6" width="15.5" style="42" bestFit="1" customWidth="1"/>
    <col min="7" max="7" width="17.375" style="43" customWidth="1"/>
    <col min="8" max="8" width="48.5" style="43" customWidth="1"/>
    <col min="9" max="9" width="15" style="42" customWidth="1"/>
    <col min="10" max="16384" width="9" style="42"/>
  </cols>
  <sheetData>
    <row r="1" spans="1:10" s="40" customFormat="1">
      <c r="A1" s="39"/>
      <c r="B1" s="39" t="s">
        <v>50</v>
      </c>
      <c r="C1" s="39"/>
      <c r="D1" s="39" t="s">
        <v>51</v>
      </c>
      <c r="E1" s="39" t="s">
        <v>52</v>
      </c>
      <c r="F1" s="39" t="s">
        <v>53</v>
      </c>
      <c r="G1" s="39" t="s">
        <v>54</v>
      </c>
      <c r="H1" s="39" t="s">
        <v>55</v>
      </c>
    </row>
    <row r="2" spans="1:10" ht="15">
      <c r="A2" s="61"/>
      <c r="B2" s="62" t="s">
        <v>95</v>
      </c>
      <c r="C2" s="63"/>
      <c r="D2" s="63"/>
      <c r="E2" s="63"/>
      <c r="F2" s="63"/>
      <c r="G2" s="63"/>
      <c r="H2" s="63"/>
    </row>
    <row r="4" spans="1:10" ht="17.25">
      <c r="C4" s="43" t="s">
        <v>59</v>
      </c>
      <c r="D4" s="43" t="s">
        <v>172</v>
      </c>
      <c r="F4" s="95">
        <f>IF(Cover!D23="Electricity",PE!F25,IF(Cover!D23="Renewable fuel",PE!F47,PE!F66))</f>
        <v>2.0889927604710228</v>
      </c>
      <c r="G4" s="58" t="s">
        <v>96</v>
      </c>
      <c r="J4" s="43"/>
    </row>
    <row r="5" spans="1:10">
      <c r="F5" s="95">
        <f>+F4/12</f>
        <v>0.1740827300392519</v>
      </c>
      <c r="G5" s="58" t="s">
        <v>97</v>
      </c>
    </row>
    <row r="7" spans="1:10" ht="15">
      <c r="A7" s="61"/>
      <c r="B7" s="62" t="s">
        <v>98</v>
      </c>
      <c r="C7" s="63"/>
      <c r="D7" s="63"/>
      <c r="E7" s="63"/>
      <c r="F7" s="63"/>
      <c r="G7" s="63"/>
      <c r="H7" s="63"/>
    </row>
    <row r="8" spans="1:10">
      <c r="A8" s="41"/>
      <c r="B8" s="41" t="s">
        <v>99</v>
      </c>
      <c r="C8" s="41"/>
      <c r="D8" s="41"/>
      <c r="E8" s="41"/>
      <c r="F8" s="41"/>
      <c r="G8" s="41"/>
      <c r="H8" s="41"/>
    </row>
    <row r="9" spans="1:10">
      <c r="B9" s="125"/>
      <c r="E9" s="126" t="s">
        <v>100</v>
      </c>
      <c r="F9" s="44"/>
    </row>
    <row r="10" spans="1:10">
      <c r="B10" s="125"/>
      <c r="E10" s="126"/>
      <c r="F10" s="96">
        <f>F13*F17*F18</f>
        <v>5.9129999999999999E-3</v>
      </c>
      <c r="G10" s="43" t="s">
        <v>93</v>
      </c>
    </row>
    <row r="11" spans="1:10">
      <c r="F11" s="44"/>
      <c r="G11" s="56"/>
    </row>
    <row r="12" spans="1:10">
      <c r="F12" s="44"/>
      <c r="G12" s="56"/>
    </row>
    <row r="13" spans="1:10" ht="36" customHeight="1">
      <c r="C13" s="43" t="s">
        <v>59</v>
      </c>
      <c r="D13" s="45" t="s">
        <v>173</v>
      </c>
      <c r="E13" s="45"/>
      <c r="F13" s="97">
        <f>(F14/1000)*F19</f>
        <v>1.825</v>
      </c>
      <c r="G13" s="45" t="s">
        <v>101</v>
      </c>
    </row>
    <row r="14" spans="1:10" ht="29.25" customHeight="1">
      <c r="B14" s="43" t="s">
        <v>102</v>
      </c>
      <c r="D14" s="45" t="s">
        <v>174</v>
      </c>
      <c r="E14" s="45"/>
      <c r="F14" s="98">
        <f>+F15*F16</f>
        <v>5</v>
      </c>
      <c r="G14" s="43" t="s">
        <v>103</v>
      </c>
      <c r="H14" s="64" t="s">
        <v>73</v>
      </c>
    </row>
    <row r="15" spans="1:10" ht="29.25" customHeight="1">
      <c r="D15" s="45" t="s">
        <v>175</v>
      </c>
      <c r="E15" s="45"/>
      <c r="F15" s="118">
        <v>1</v>
      </c>
      <c r="G15" s="43" t="s">
        <v>104</v>
      </c>
      <c r="H15" s="64" t="s">
        <v>105</v>
      </c>
    </row>
    <row r="16" spans="1:10" ht="29.25" customHeight="1">
      <c r="D16" s="45" t="s">
        <v>106</v>
      </c>
      <c r="E16" s="45"/>
      <c r="F16" s="118">
        <v>5</v>
      </c>
      <c r="G16" s="43" t="s">
        <v>107</v>
      </c>
      <c r="H16" s="64" t="s">
        <v>108</v>
      </c>
    </row>
    <row r="17" spans="1:8">
      <c r="B17" s="64">
        <v>3.5999999999999999E-3</v>
      </c>
      <c r="C17" s="43" t="s">
        <v>59</v>
      </c>
      <c r="D17" s="43" t="s">
        <v>109</v>
      </c>
      <c r="F17" s="114">
        <v>3.5999999999999999E-3</v>
      </c>
      <c r="G17" s="43" t="s">
        <v>110</v>
      </c>
    </row>
    <row r="18" spans="1:8">
      <c r="C18" s="43" t="s">
        <v>59</v>
      </c>
      <c r="D18" s="43" t="s">
        <v>111</v>
      </c>
      <c r="F18" s="117">
        <v>0.9</v>
      </c>
      <c r="G18" s="43" t="s">
        <v>75</v>
      </c>
      <c r="H18" s="64" t="s">
        <v>108</v>
      </c>
    </row>
    <row r="19" spans="1:8">
      <c r="B19" s="56" t="s">
        <v>112</v>
      </c>
      <c r="C19" s="43" t="s">
        <v>59</v>
      </c>
      <c r="D19" s="43" t="s">
        <v>113</v>
      </c>
      <c r="F19" s="114">
        <v>365</v>
      </c>
      <c r="G19" s="43" t="s">
        <v>114</v>
      </c>
      <c r="H19" s="43" t="s">
        <v>115</v>
      </c>
    </row>
    <row r="20" spans="1:8">
      <c r="B20" s="56"/>
      <c r="F20" s="109"/>
    </row>
    <row r="21" spans="1:8">
      <c r="A21" s="41"/>
      <c r="B21" s="41" t="s">
        <v>116</v>
      </c>
      <c r="C21" s="41"/>
      <c r="D21" s="41"/>
      <c r="E21" s="41"/>
      <c r="F21" s="41"/>
      <c r="G21" s="41"/>
      <c r="H21" s="41"/>
    </row>
    <row r="22" spans="1:8">
      <c r="F22" s="44"/>
    </row>
    <row r="23" spans="1:8">
      <c r="B23" s="45"/>
      <c r="E23" s="46" t="s">
        <v>117</v>
      </c>
      <c r="F23" s="44"/>
    </row>
    <row r="24" spans="1:8">
      <c r="F24" s="44"/>
    </row>
    <row r="25" spans="1:8" ht="17.25">
      <c r="C25" s="43" t="s">
        <v>59</v>
      </c>
      <c r="D25" s="43" t="s">
        <v>172</v>
      </c>
      <c r="F25" s="95">
        <f>F27*F28*(1+F29)</f>
        <v>1.9490999999999998</v>
      </c>
      <c r="G25" s="58" t="s">
        <v>96</v>
      </c>
    </row>
    <row r="26" spans="1:8">
      <c r="F26" s="95">
        <f>+F25/12</f>
        <v>0.16242499999999999</v>
      </c>
      <c r="G26" s="58" t="s">
        <v>97</v>
      </c>
    </row>
    <row r="27" spans="1:8" ht="32.25" customHeight="1">
      <c r="C27" s="43" t="s">
        <v>59</v>
      </c>
      <c r="D27" s="45" t="s">
        <v>176</v>
      </c>
      <c r="E27" s="45"/>
      <c r="F27" s="97">
        <f>PE!F13</f>
        <v>1.825</v>
      </c>
      <c r="G27" s="45" t="s">
        <v>118</v>
      </c>
      <c r="H27" s="45"/>
    </row>
    <row r="28" spans="1:8" ht="33.75" customHeight="1">
      <c r="C28" s="43" t="s">
        <v>59</v>
      </c>
      <c r="D28" s="45" t="s">
        <v>177</v>
      </c>
      <c r="E28" s="45"/>
      <c r="F28" s="118">
        <v>0.89</v>
      </c>
      <c r="G28" s="65" t="s">
        <v>119</v>
      </c>
      <c r="H28" s="44" t="s">
        <v>120</v>
      </c>
    </row>
    <row r="29" spans="1:8" ht="31.5" customHeight="1">
      <c r="C29" s="43" t="s">
        <v>59</v>
      </c>
      <c r="D29" s="45" t="s">
        <v>178</v>
      </c>
      <c r="E29" s="45"/>
      <c r="F29" s="119">
        <v>0.2</v>
      </c>
      <c r="G29" s="45" t="s">
        <v>75</v>
      </c>
      <c r="H29" s="43" t="s">
        <v>121</v>
      </c>
    </row>
    <row r="31" spans="1:8" ht="15">
      <c r="A31" s="61"/>
      <c r="B31" s="62" t="s">
        <v>122</v>
      </c>
      <c r="C31" s="63"/>
      <c r="D31" s="63"/>
      <c r="E31" s="63"/>
      <c r="F31" s="63"/>
      <c r="G31" s="63"/>
      <c r="H31" s="63"/>
    </row>
    <row r="36" spans="2:8" ht="24.6" customHeight="1">
      <c r="B36" s="66" t="s">
        <v>123</v>
      </c>
      <c r="C36" s="43" t="s">
        <v>59</v>
      </c>
      <c r="D36" s="43" t="s">
        <v>92</v>
      </c>
      <c r="F36" s="96">
        <f>+F38*F39*F40+F43*F44*F45</f>
        <v>5.9539999999999992E-3</v>
      </c>
      <c r="H36" s="43" t="s">
        <v>93</v>
      </c>
    </row>
    <row r="37" spans="2:8" ht="24.6" customHeight="1">
      <c r="B37" s="67" t="s">
        <v>124</v>
      </c>
    </row>
    <row r="38" spans="2:8" ht="28.5">
      <c r="B38" s="67" t="s">
        <v>125</v>
      </c>
      <c r="C38" s="68" t="s">
        <v>126</v>
      </c>
      <c r="D38" s="68" t="s">
        <v>179</v>
      </c>
      <c r="F38" s="120">
        <v>0.16</v>
      </c>
      <c r="H38" s="43" t="s">
        <v>127</v>
      </c>
    </row>
    <row r="39" spans="2:8" ht="28.5">
      <c r="B39" s="67" t="s">
        <v>128</v>
      </c>
      <c r="C39" s="68" t="s">
        <v>126</v>
      </c>
      <c r="D39" s="68" t="s">
        <v>180</v>
      </c>
      <c r="F39" s="120">
        <v>0.04</v>
      </c>
      <c r="H39" s="43" t="s">
        <v>77</v>
      </c>
    </row>
    <row r="40" spans="2:8" ht="28.5">
      <c r="B40" s="69" t="s">
        <v>129</v>
      </c>
      <c r="C40" s="68" t="s">
        <v>126</v>
      </c>
      <c r="D40" s="68" t="s">
        <v>181</v>
      </c>
      <c r="F40" s="119">
        <v>0.5</v>
      </c>
      <c r="H40" s="43" t="s">
        <v>108</v>
      </c>
    </row>
    <row r="42" spans="2:8">
      <c r="B42" s="67" t="s">
        <v>130</v>
      </c>
    </row>
    <row r="43" spans="2:8" ht="28.5">
      <c r="B43" s="67" t="s">
        <v>125</v>
      </c>
      <c r="C43" s="68" t="s">
        <v>126</v>
      </c>
      <c r="D43" s="68" t="s">
        <v>179</v>
      </c>
      <c r="F43" s="120">
        <v>0.10199999999999999</v>
      </c>
      <c r="H43" s="43" t="s">
        <v>127</v>
      </c>
    </row>
    <row r="44" spans="2:8" ht="28.5">
      <c r="B44" s="67" t="s">
        <v>128</v>
      </c>
      <c r="C44" s="68" t="s">
        <v>126</v>
      </c>
      <c r="D44" s="68" t="s">
        <v>180</v>
      </c>
      <c r="F44" s="120">
        <v>4.4999999999999998E-2</v>
      </c>
      <c r="H44" s="43" t="s">
        <v>77</v>
      </c>
    </row>
    <row r="45" spans="2:8" ht="28.5">
      <c r="B45" s="69" t="s">
        <v>129</v>
      </c>
      <c r="C45" s="68" t="s">
        <v>126</v>
      </c>
      <c r="D45" s="68" t="s">
        <v>181</v>
      </c>
      <c r="F45" s="119">
        <v>0.6</v>
      </c>
      <c r="H45" s="43" t="s">
        <v>108</v>
      </c>
    </row>
    <row r="47" spans="2:8" ht="17.25">
      <c r="C47" s="43" t="s">
        <v>59</v>
      </c>
      <c r="D47" s="43" t="s">
        <v>172</v>
      </c>
      <c r="F47" s="95">
        <v>0</v>
      </c>
      <c r="G47" s="58" t="s">
        <v>96</v>
      </c>
      <c r="H47" s="43" t="s">
        <v>131</v>
      </c>
    </row>
    <row r="48" spans="2:8">
      <c r="F48" s="95">
        <f>+F47/12</f>
        <v>0</v>
      </c>
      <c r="G48" s="58" t="s">
        <v>97</v>
      </c>
    </row>
    <row r="50" spans="1:8" ht="15">
      <c r="A50" s="61"/>
      <c r="B50" s="62" t="s">
        <v>132</v>
      </c>
      <c r="C50" s="63"/>
      <c r="D50" s="63"/>
      <c r="E50" s="63"/>
      <c r="F50" s="63"/>
      <c r="G50" s="63"/>
      <c r="H50" s="63"/>
    </row>
    <row r="55" spans="1:8">
      <c r="B55" s="66" t="s">
        <v>123</v>
      </c>
      <c r="C55" s="43" t="s">
        <v>59</v>
      </c>
      <c r="D55" s="43" t="s">
        <v>92</v>
      </c>
      <c r="F55" s="96">
        <f>+F57*F58*F59+F62*F63*F64</f>
        <v>6.0000000000000001E-3</v>
      </c>
      <c r="H55" s="43" t="s">
        <v>93</v>
      </c>
    </row>
    <row r="56" spans="1:8">
      <c r="B56" s="67" t="s">
        <v>124</v>
      </c>
    </row>
    <row r="57" spans="1:8" ht="28.5">
      <c r="B57" s="67" t="s">
        <v>125</v>
      </c>
      <c r="C57" s="68" t="s">
        <v>126</v>
      </c>
      <c r="D57" s="68" t="s">
        <v>179</v>
      </c>
      <c r="F57" s="120">
        <v>0.105</v>
      </c>
      <c r="H57" s="43" t="s">
        <v>127</v>
      </c>
    </row>
    <row r="58" spans="1:8" ht="28.5">
      <c r="B58" s="67" t="s">
        <v>128</v>
      </c>
      <c r="C58" s="68" t="s">
        <v>126</v>
      </c>
      <c r="D58" s="68" t="s">
        <v>180</v>
      </c>
      <c r="F58" s="120">
        <v>0.08</v>
      </c>
      <c r="H58" s="43" t="s">
        <v>77</v>
      </c>
    </row>
    <row r="59" spans="1:8" ht="28.5">
      <c r="B59" s="69" t="s">
        <v>129</v>
      </c>
      <c r="C59" s="68" t="s">
        <v>126</v>
      </c>
      <c r="D59" s="68" t="s">
        <v>181</v>
      </c>
      <c r="F59" s="119">
        <v>0.5</v>
      </c>
      <c r="H59" s="43" t="s">
        <v>108</v>
      </c>
    </row>
    <row r="61" spans="1:8">
      <c r="B61" s="67" t="s">
        <v>130</v>
      </c>
    </row>
    <row r="62" spans="1:8" ht="28.5">
      <c r="B62" s="67" t="s">
        <v>125</v>
      </c>
      <c r="C62" s="68" t="s">
        <v>126</v>
      </c>
      <c r="D62" s="68" t="s">
        <v>179</v>
      </c>
      <c r="F62" s="120">
        <v>0.05</v>
      </c>
      <c r="H62" s="43" t="s">
        <v>127</v>
      </c>
    </row>
    <row r="63" spans="1:8" ht="28.5">
      <c r="B63" s="67" t="s">
        <v>128</v>
      </c>
      <c r="C63" s="68" t="s">
        <v>126</v>
      </c>
      <c r="D63" s="68" t="s">
        <v>180</v>
      </c>
      <c r="F63" s="120">
        <v>0.06</v>
      </c>
      <c r="H63" s="43" t="s">
        <v>77</v>
      </c>
    </row>
    <row r="64" spans="1:8" ht="28.5">
      <c r="B64" s="69" t="s">
        <v>129</v>
      </c>
      <c r="C64" s="68" t="s">
        <v>126</v>
      </c>
      <c r="D64" s="68" t="s">
        <v>181</v>
      </c>
      <c r="F64" s="119">
        <v>0.6</v>
      </c>
      <c r="H64" s="43" t="s">
        <v>108</v>
      </c>
    </row>
    <row r="66" spans="3:7" ht="17.25">
      <c r="C66" s="43" t="s">
        <v>59</v>
      </c>
      <c r="D66" s="43" t="s">
        <v>172</v>
      </c>
      <c r="F66" s="95">
        <f>+BE!F46*PE!F68/PE!F69</f>
        <v>2.0889927604710228</v>
      </c>
      <c r="G66" s="58" t="s">
        <v>96</v>
      </c>
    </row>
    <row r="67" spans="3:7">
      <c r="F67" s="95">
        <f>+F66/12</f>
        <v>0.1740827300392519</v>
      </c>
      <c r="G67" s="58" t="s">
        <v>97</v>
      </c>
    </row>
    <row r="68" spans="3:7">
      <c r="D68" s="43" t="s">
        <v>133</v>
      </c>
      <c r="F68" s="99">
        <f>SUMPRODUCT(BE!F33:F35,BE!F39:F41)/SUM(BE!F39:F41)</f>
        <v>0.18</v>
      </c>
    </row>
    <row r="69" spans="3:7">
      <c r="D69" s="43" t="s">
        <v>134</v>
      </c>
      <c r="F69" s="99">
        <f>(F57*F58*F59+F62*F63*F64)/(F57*F58+F62*F63)</f>
        <v>0.52631578947368418</v>
      </c>
    </row>
  </sheetData>
  <sheetProtection algorithmName="SHA-512" hashValue="Va5LiV/2S0zXU66ouT6CS0xhdKyUpGsyXL1j9uRiCWfBi+IWK5U1qxmnffhDmIZjaZNUtr0C94it2ANg/ZYAQg==" saltValue="LA0ykcZy4VMTtUkcv54IYg==" spinCount="100000" sheet="1" objects="1" scenarios="1"/>
  <mergeCells count="2">
    <mergeCell ref="B9:B10"/>
    <mergeCell ref="E9:E1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9EBB6-7FBF-43A8-A3A5-3E492974137E}">
  <sheetPr codeName="Sheet4">
    <tabColor theme="6"/>
  </sheetPr>
  <dimension ref="A1:H5"/>
  <sheetViews>
    <sheetView showGridLines="0" workbookViewId="0">
      <pane xSplit="2" ySplit="1" topLeftCell="C2" activePane="bottomRight" state="frozen"/>
      <selection activeCell="F49" sqref="F49"/>
      <selection pane="topRight" activeCell="F49" sqref="F49"/>
      <selection pane="bottomLeft" activeCell="F49" sqref="F49"/>
      <selection pane="bottomRight" activeCell="F4" sqref="F4"/>
    </sheetView>
  </sheetViews>
  <sheetFormatPr defaultColWidth="9" defaultRowHeight="14.25"/>
  <cols>
    <col min="1" max="1" width="9" style="42"/>
    <col min="2" max="2" width="34.375" style="42" customWidth="1"/>
    <col min="3" max="16384" width="9" style="42"/>
  </cols>
  <sheetData>
    <row r="1" spans="1:8">
      <c r="A1" s="41"/>
      <c r="B1" s="41" t="s">
        <v>135</v>
      </c>
      <c r="C1" s="41"/>
      <c r="D1" s="41"/>
      <c r="E1" s="41"/>
      <c r="F1" s="41"/>
      <c r="G1" s="41"/>
      <c r="H1" s="41"/>
    </row>
    <row r="2" spans="1:8">
      <c r="A2" s="43"/>
      <c r="B2" s="43" t="s">
        <v>136</v>
      </c>
      <c r="C2" s="43"/>
      <c r="D2" s="43"/>
      <c r="E2" s="43"/>
      <c r="F2" s="100">
        <f>BE!F46*(1-F4)</f>
        <v>0.30540829831447724</v>
      </c>
      <c r="G2" s="58" t="s">
        <v>96</v>
      </c>
      <c r="H2" s="43"/>
    </row>
    <row r="3" spans="1:8">
      <c r="A3" s="43"/>
      <c r="B3" s="43"/>
      <c r="C3" s="43"/>
      <c r="D3" s="43"/>
      <c r="E3" s="43"/>
      <c r="F3" s="101">
        <f>+F2/12</f>
        <v>2.5450691526206437E-2</v>
      </c>
      <c r="G3" s="58" t="s">
        <v>97</v>
      </c>
      <c r="H3" s="43"/>
    </row>
    <row r="4" spans="1:8">
      <c r="A4" s="43"/>
      <c r="B4" s="43" t="s">
        <v>137</v>
      </c>
      <c r="C4" s="43"/>
      <c r="D4" s="43"/>
      <c r="E4" s="43"/>
      <c r="F4" s="114">
        <v>0.95</v>
      </c>
      <c r="G4" s="43" t="s">
        <v>138</v>
      </c>
      <c r="H4" s="50" t="s">
        <v>79</v>
      </c>
    </row>
    <row r="5" spans="1:8">
      <c r="A5" s="43"/>
      <c r="B5" s="43"/>
      <c r="C5" s="43"/>
      <c r="D5" s="43"/>
      <c r="E5" s="43"/>
      <c r="F5" s="44"/>
      <c r="G5" s="43"/>
      <c r="H5" s="43"/>
    </row>
  </sheetData>
  <sheetProtection algorithmName="SHA-512" hashValue="dTfdzzq0nIw5lrpK0/fZOe6QqZwsO3zwUlmNgymAKkY7s99yLm2BbbJ9m9U0PWw9hpcbbes28wKs4pTN5q+jXQ==" saltValue="5mXrmWTuZp5369PI9phHG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E645-69DC-4FE9-90E5-6AF0EA6B6BEB}">
  <sheetPr codeName="Sheet5">
    <tabColor theme="9"/>
  </sheetPr>
  <dimension ref="A1:S112"/>
  <sheetViews>
    <sheetView showGridLines="0" zoomScale="80" zoomScaleNormal="80" workbookViewId="0">
      <pane xSplit="3" ySplit="8" topLeftCell="D9" activePane="bottomRight" state="frozen"/>
      <selection pane="topRight" activeCell="D1" sqref="D1"/>
      <selection pane="bottomLeft" activeCell="A9" sqref="A9"/>
      <selection pane="bottomRight" activeCell="F110" activeCellId="1" sqref="D9:D110 F9:F110"/>
    </sheetView>
  </sheetViews>
  <sheetFormatPr defaultColWidth="9" defaultRowHeight="14.25"/>
  <cols>
    <col min="1" max="1" width="4.625" style="42" customWidth="1"/>
    <col min="2" max="2" width="13.875" style="42" customWidth="1"/>
    <col min="3" max="3" width="13.125" style="42" customWidth="1"/>
    <col min="4" max="4" width="13.875" style="42" customWidth="1"/>
    <col min="5" max="6" width="12.625" style="42" customWidth="1"/>
    <col min="7" max="7" width="14.125" style="94" customWidth="1"/>
    <col min="8" max="8" width="13.5" style="94" customWidth="1"/>
    <col min="9" max="9" width="9" style="94"/>
    <col min="10" max="10" width="24.625" style="94" customWidth="1"/>
    <col min="11" max="11" width="10.625" style="42" bestFit="1" customWidth="1"/>
    <col min="12" max="12" width="12.5" style="42" customWidth="1"/>
    <col min="13" max="13" width="11.875" style="42" customWidth="1"/>
    <col min="14" max="14" width="12.5" style="42" customWidth="1"/>
    <col min="15" max="15" width="18.625" style="42" customWidth="1"/>
    <col min="16" max="16" width="9" style="42"/>
    <col min="17" max="17" width="35.625" style="42" customWidth="1"/>
    <col min="18" max="18" width="19.625" style="93" customWidth="1"/>
    <col min="19" max="19" width="87.125" style="42" customWidth="1"/>
    <col min="20" max="16384" width="9" style="42"/>
  </cols>
  <sheetData>
    <row r="1" spans="1:19" ht="16.5" customHeight="1">
      <c r="A1" s="70" t="s">
        <v>139</v>
      </c>
      <c r="B1" s="71"/>
      <c r="C1" s="71"/>
      <c r="D1" s="71"/>
      <c r="E1" s="71"/>
      <c r="F1" s="71"/>
      <c r="G1" s="72"/>
      <c r="H1" s="72"/>
      <c r="I1" s="72"/>
      <c r="J1" s="72"/>
      <c r="K1" s="71"/>
      <c r="L1" s="71"/>
      <c r="M1" s="71"/>
      <c r="N1" s="71"/>
      <c r="O1" s="73"/>
      <c r="P1" s="74"/>
      <c r="Q1" s="74"/>
      <c r="R1" s="75"/>
      <c r="S1" s="74"/>
    </row>
    <row r="2" spans="1:19" ht="16.5" customHeight="1">
      <c r="A2" s="70"/>
      <c r="B2" s="71"/>
      <c r="C2" s="71"/>
      <c r="D2" s="71"/>
      <c r="E2" s="71"/>
      <c r="F2" s="71"/>
      <c r="G2" s="72"/>
      <c r="H2" s="72"/>
      <c r="I2" s="72"/>
      <c r="J2" s="72"/>
      <c r="K2" s="71"/>
      <c r="L2" s="71"/>
      <c r="M2" s="71"/>
      <c r="N2" s="71"/>
      <c r="O2" s="73"/>
      <c r="P2" s="74"/>
      <c r="Q2" s="74"/>
      <c r="R2" s="75"/>
      <c r="S2" s="74"/>
    </row>
    <row r="3" spans="1:19" ht="16.5" customHeight="1">
      <c r="A3" s="70"/>
      <c r="B3" s="71"/>
      <c r="C3" s="71"/>
      <c r="D3" s="71"/>
      <c r="E3" s="71"/>
      <c r="F3" s="71"/>
      <c r="G3" s="72"/>
      <c r="H3" s="72"/>
      <c r="I3" s="72"/>
      <c r="J3" s="72"/>
      <c r="K3" s="71"/>
      <c r="L3" s="71"/>
      <c r="M3" s="71"/>
      <c r="N3" s="71"/>
      <c r="O3" s="73"/>
      <c r="P3" s="74"/>
      <c r="Q3" s="74"/>
      <c r="R3" s="75"/>
      <c r="S3" s="74"/>
    </row>
    <row r="4" spans="1:19" ht="16.5" customHeight="1">
      <c r="A4" s="70"/>
      <c r="B4" s="71"/>
      <c r="C4" s="71"/>
      <c r="D4" s="71"/>
      <c r="E4" s="71"/>
      <c r="F4" s="71"/>
      <c r="G4" s="72"/>
      <c r="H4" s="72"/>
      <c r="I4" s="72"/>
      <c r="J4" s="72"/>
      <c r="K4" s="71"/>
      <c r="L4" s="71"/>
      <c r="M4" s="71"/>
      <c r="N4" s="71"/>
      <c r="O4" s="73"/>
      <c r="P4" s="74"/>
      <c r="Q4" s="74"/>
      <c r="R4" s="75"/>
      <c r="S4" s="74"/>
    </row>
    <row r="5" spans="1:19" ht="16.5" customHeight="1">
      <c r="A5" s="70"/>
      <c r="B5" s="71"/>
      <c r="C5" s="71"/>
      <c r="D5" s="71"/>
      <c r="E5" s="71"/>
      <c r="F5" s="71"/>
      <c r="G5" s="72"/>
      <c r="H5" s="72"/>
      <c r="I5" s="72"/>
      <c r="J5" s="72"/>
      <c r="K5" s="71"/>
      <c r="L5" s="71"/>
      <c r="M5" s="71"/>
      <c r="N5" s="71"/>
      <c r="O5" s="73"/>
      <c r="P5" s="74"/>
      <c r="Q5" s="74"/>
      <c r="R5" s="75"/>
      <c r="S5" s="74"/>
    </row>
    <row r="6" spans="1:19" ht="16.5" customHeight="1">
      <c r="G6" s="42"/>
      <c r="H6" s="42"/>
      <c r="I6" s="42"/>
      <c r="J6" s="42"/>
      <c r="R6" s="42"/>
    </row>
    <row r="7" spans="1:19" ht="15">
      <c r="B7" s="127" t="s">
        <v>140</v>
      </c>
      <c r="C7" s="127"/>
      <c r="D7" s="127"/>
      <c r="E7" s="76"/>
      <c r="F7" s="76"/>
      <c r="G7" s="77"/>
      <c r="H7" s="77"/>
      <c r="I7" s="77"/>
      <c r="J7" s="77"/>
      <c r="O7" s="78"/>
      <c r="P7" s="74"/>
      <c r="Q7" s="74"/>
      <c r="R7" s="75"/>
      <c r="S7" s="74"/>
    </row>
    <row r="8" spans="1:19" ht="15">
      <c r="B8" s="79" t="s">
        <v>141</v>
      </c>
      <c r="C8" s="80" t="s">
        <v>142</v>
      </c>
      <c r="D8" s="79" t="s">
        <v>143</v>
      </c>
      <c r="E8" s="76" t="s">
        <v>144</v>
      </c>
      <c r="F8" s="76" t="s">
        <v>145</v>
      </c>
      <c r="G8" s="77" t="s">
        <v>146</v>
      </c>
      <c r="H8" s="77" t="s">
        <v>147</v>
      </c>
      <c r="I8" s="77" t="s">
        <v>148</v>
      </c>
      <c r="J8" s="77" t="s">
        <v>149</v>
      </c>
      <c r="O8" s="78"/>
      <c r="P8" s="74"/>
      <c r="Q8" s="74"/>
      <c r="R8" s="75"/>
      <c r="S8" s="74"/>
    </row>
    <row r="9" spans="1:19">
      <c r="B9" s="81">
        <f>Cover!D18</f>
        <v>44509</v>
      </c>
      <c r="C9" s="81">
        <f>IF(Cover!$D$18=Cover!$D$19,DATE(YEAR(B9),MONTH(B9)+1,DAY(B9)-1),B10-1)</f>
        <v>44547</v>
      </c>
      <c r="D9" s="121">
        <v>100</v>
      </c>
      <c r="E9" s="104">
        <v>0</v>
      </c>
      <c r="F9" s="122">
        <v>1</v>
      </c>
      <c r="G9" s="102">
        <f>+E9*F9*BE!$F$47</f>
        <v>0</v>
      </c>
      <c r="H9" s="103">
        <f>+E9*F9*PE!$F$5</f>
        <v>0</v>
      </c>
      <c r="I9" s="102">
        <f>+E9*F9*LE!$F$3</f>
        <v>0</v>
      </c>
      <c r="J9" s="102">
        <f>+G9-H9-I9</f>
        <v>0</v>
      </c>
      <c r="K9" s="82"/>
      <c r="O9" s="83"/>
      <c r="P9" s="83"/>
      <c r="Q9" s="83"/>
      <c r="R9" s="84"/>
      <c r="S9" s="83"/>
    </row>
    <row r="10" spans="1:19">
      <c r="B10" s="81">
        <f>IF(Cover!$D$18=Cover!$D$19,C9+1,DATE(YEAR(Cover!$D$18),MONTH(Cover!$D$18)+1,DAY(Cover!$D$19)))</f>
        <v>44548</v>
      </c>
      <c r="C10" s="81">
        <f>DATE(YEAR(B10),MONTH(B10)+1,DAY(B10)-1)</f>
        <v>44578</v>
      </c>
      <c r="D10" s="121">
        <v>100</v>
      </c>
      <c r="E10" s="104">
        <f>D9</f>
        <v>100</v>
      </c>
      <c r="F10" s="122">
        <v>1</v>
      </c>
      <c r="G10" s="102">
        <f>+E10*F10*BE!$F$47</f>
        <v>50.901383052412832</v>
      </c>
      <c r="H10" s="103">
        <f>+E10*F10*PE!$F$5</f>
        <v>17.408273003925189</v>
      </c>
      <c r="I10" s="102">
        <f>+E10*F10*LE!$F$3</f>
        <v>2.5450691526206439</v>
      </c>
      <c r="J10" s="102">
        <f t="shared" ref="J10:J54" si="0">+G10-H10-I10</f>
        <v>30.948040895866999</v>
      </c>
      <c r="K10" s="82"/>
      <c r="O10" s="53"/>
      <c r="P10" s="53"/>
      <c r="Q10" s="53"/>
      <c r="R10" s="85"/>
      <c r="S10" s="53"/>
    </row>
    <row r="11" spans="1:19">
      <c r="B11" s="81">
        <f>+C10+1</f>
        <v>44579</v>
      </c>
      <c r="C11" s="81">
        <f t="shared" ref="C11:C74" si="1">DATE(YEAR(B11),MONTH(B11)+1,DAY(B11)-1)</f>
        <v>44609</v>
      </c>
      <c r="D11" s="121">
        <v>100</v>
      </c>
      <c r="E11" s="104">
        <f>D10+E10</f>
        <v>200</v>
      </c>
      <c r="F11" s="122">
        <v>1</v>
      </c>
      <c r="G11" s="102">
        <f>+E11*F11*BE!$F$47</f>
        <v>101.80276610482566</v>
      </c>
      <c r="H11" s="103">
        <f>+E11*F11*PE!$F$5</f>
        <v>34.816546007850377</v>
      </c>
      <c r="I11" s="102">
        <f>+E11*F11*LE!$F$3</f>
        <v>5.0901383052412879</v>
      </c>
      <c r="J11" s="102">
        <f t="shared" si="0"/>
        <v>61.896081791733998</v>
      </c>
      <c r="O11" s="53"/>
      <c r="P11" s="53"/>
      <c r="Q11" s="53"/>
      <c r="R11" s="86"/>
      <c r="S11" s="53"/>
    </row>
    <row r="12" spans="1:19">
      <c r="B12" s="81">
        <f t="shared" ref="B12:B75" si="2">+C11+1</f>
        <v>44610</v>
      </c>
      <c r="C12" s="81">
        <f t="shared" si="1"/>
        <v>44637</v>
      </c>
      <c r="D12" s="121">
        <v>100</v>
      </c>
      <c r="E12" s="104">
        <f>D11+E11</f>
        <v>300</v>
      </c>
      <c r="F12" s="122">
        <v>1</v>
      </c>
      <c r="G12" s="102">
        <f>+E12*F12*BE!$F$47</f>
        <v>152.70414915723848</v>
      </c>
      <c r="H12" s="103">
        <f>+E12*F12*PE!$F$5</f>
        <v>52.224819011775573</v>
      </c>
      <c r="I12" s="102">
        <f>+E12*F12*LE!$F$3</f>
        <v>7.6352074578619309</v>
      </c>
      <c r="J12" s="102">
        <f t="shared" si="0"/>
        <v>92.844122687600986</v>
      </c>
      <c r="O12" s="53"/>
      <c r="P12" s="53"/>
      <c r="Q12" s="53"/>
      <c r="R12" s="85"/>
      <c r="S12" s="53"/>
    </row>
    <row r="13" spans="1:19">
      <c r="B13" s="81">
        <f t="shared" si="2"/>
        <v>44638</v>
      </c>
      <c r="C13" s="81">
        <f t="shared" si="1"/>
        <v>44668</v>
      </c>
      <c r="D13" s="121">
        <v>100</v>
      </c>
      <c r="E13" s="104">
        <f t="shared" ref="E13:E54" si="3">D12+E12</f>
        <v>400</v>
      </c>
      <c r="F13" s="122">
        <v>1</v>
      </c>
      <c r="G13" s="102">
        <f>+E13*F13*BE!$F$47</f>
        <v>203.60553220965133</v>
      </c>
      <c r="H13" s="103">
        <f>+E13*F13*PE!$F$5</f>
        <v>69.633092015700754</v>
      </c>
      <c r="I13" s="102">
        <f>+E13*F13*LE!$F$3</f>
        <v>10.180276610482576</v>
      </c>
      <c r="J13" s="102">
        <f t="shared" si="0"/>
        <v>123.792163583468</v>
      </c>
      <c r="O13" s="53"/>
      <c r="P13" s="53"/>
      <c r="Q13" s="53"/>
      <c r="R13" s="87"/>
      <c r="S13" s="53"/>
    </row>
    <row r="14" spans="1:19">
      <c r="B14" s="81">
        <f t="shared" si="2"/>
        <v>44669</v>
      </c>
      <c r="C14" s="81">
        <f t="shared" si="1"/>
        <v>44698</v>
      </c>
      <c r="D14" s="121">
        <v>100</v>
      </c>
      <c r="E14" s="104">
        <f t="shared" si="3"/>
        <v>500</v>
      </c>
      <c r="F14" s="122">
        <v>1</v>
      </c>
      <c r="G14" s="102">
        <f>+E14*F14*BE!$F$47</f>
        <v>254.50691526206415</v>
      </c>
      <c r="H14" s="103">
        <f>+E14*F14*PE!$F$5</f>
        <v>87.041365019625943</v>
      </c>
      <c r="I14" s="102">
        <f>+E14*F14*LE!$F$3</f>
        <v>12.725345763103219</v>
      </c>
      <c r="J14" s="102">
        <f t="shared" si="0"/>
        <v>154.74020447933501</v>
      </c>
      <c r="O14" s="53"/>
      <c r="P14" s="53"/>
      <c r="Q14" s="53"/>
      <c r="R14" s="85"/>
      <c r="S14" s="53"/>
    </row>
    <row r="15" spans="1:19">
      <c r="B15" s="81">
        <f t="shared" si="2"/>
        <v>44699</v>
      </c>
      <c r="C15" s="81">
        <f t="shared" si="1"/>
        <v>44729</v>
      </c>
      <c r="D15" s="121">
        <v>100</v>
      </c>
      <c r="E15" s="104">
        <f t="shared" si="3"/>
        <v>600</v>
      </c>
      <c r="F15" s="122">
        <v>1</v>
      </c>
      <c r="G15" s="102">
        <f>+E15*F15*BE!$F$47</f>
        <v>305.40829831447695</v>
      </c>
      <c r="H15" s="103">
        <f>+E15*F15*PE!$F$5</f>
        <v>104.44963802355115</v>
      </c>
      <c r="I15" s="102">
        <f>+E15*F15*LE!$F$3</f>
        <v>15.270414915723862</v>
      </c>
      <c r="J15" s="102">
        <f t="shared" si="0"/>
        <v>185.68824537520197</v>
      </c>
      <c r="O15" s="74"/>
      <c r="P15" s="74"/>
      <c r="Q15" s="74"/>
      <c r="R15" s="75"/>
      <c r="S15" s="74"/>
    </row>
    <row r="16" spans="1:19">
      <c r="B16" s="81">
        <f t="shared" si="2"/>
        <v>44730</v>
      </c>
      <c r="C16" s="81">
        <f t="shared" si="1"/>
        <v>44759</v>
      </c>
      <c r="D16" s="121">
        <v>100</v>
      </c>
      <c r="E16" s="104">
        <f t="shared" si="3"/>
        <v>700</v>
      </c>
      <c r="F16" s="122">
        <v>1</v>
      </c>
      <c r="G16" s="102">
        <f>+E16*F16*BE!$F$47</f>
        <v>356.30968136688983</v>
      </c>
      <c r="H16" s="103">
        <f>+E16*F16*PE!$F$5</f>
        <v>121.85791102747633</v>
      </c>
      <c r="I16" s="102">
        <f>+E16*F16*LE!$F$3</f>
        <v>17.815484068344507</v>
      </c>
      <c r="J16" s="102">
        <f t="shared" si="0"/>
        <v>216.63628627106897</v>
      </c>
      <c r="O16" s="74"/>
      <c r="P16" s="74"/>
      <c r="Q16" s="74"/>
      <c r="R16" s="75"/>
      <c r="S16" s="74"/>
    </row>
    <row r="17" spans="2:19">
      <c r="B17" s="81">
        <f t="shared" si="2"/>
        <v>44760</v>
      </c>
      <c r="C17" s="81">
        <f t="shared" si="1"/>
        <v>44790</v>
      </c>
      <c r="D17" s="121">
        <v>100</v>
      </c>
      <c r="E17" s="104">
        <f t="shared" si="3"/>
        <v>800</v>
      </c>
      <c r="F17" s="122">
        <v>1</v>
      </c>
      <c r="G17" s="102">
        <f>+E17*F17*BE!$F$47</f>
        <v>407.21106441930266</v>
      </c>
      <c r="H17" s="103">
        <f>+E17*F17*PE!$F$5</f>
        <v>139.26618403140151</v>
      </c>
      <c r="I17" s="102">
        <f>+E17*F17*LE!$F$3</f>
        <v>20.360553220965151</v>
      </c>
      <c r="J17" s="102">
        <f t="shared" si="0"/>
        <v>247.58432716693599</v>
      </c>
      <c r="O17" s="44"/>
      <c r="P17" s="74"/>
      <c r="Q17" s="74"/>
      <c r="R17" s="75"/>
      <c r="S17" s="74"/>
    </row>
    <row r="18" spans="2:19">
      <c r="B18" s="81">
        <f t="shared" si="2"/>
        <v>44791</v>
      </c>
      <c r="C18" s="81">
        <f t="shared" si="1"/>
        <v>44821</v>
      </c>
      <c r="D18" s="121">
        <v>100</v>
      </c>
      <c r="E18" s="104">
        <f t="shared" si="3"/>
        <v>900</v>
      </c>
      <c r="F18" s="122">
        <v>1</v>
      </c>
      <c r="G18" s="102">
        <f>+E18*F18*BE!$F$47</f>
        <v>458.11244747171548</v>
      </c>
      <c r="H18" s="103">
        <f>+E18*F18*PE!$F$5</f>
        <v>156.6744570353267</v>
      </c>
      <c r="I18" s="102">
        <f>+E18*F18*LE!$F$3</f>
        <v>22.905622373585793</v>
      </c>
      <c r="J18" s="102">
        <f t="shared" si="0"/>
        <v>278.53236806280296</v>
      </c>
      <c r="O18" s="74"/>
      <c r="P18" s="74"/>
      <c r="Q18" s="74"/>
      <c r="R18" s="75"/>
      <c r="S18" s="74"/>
    </row>
    <row r="19" spans="2:19">
      <c r="B19" s="81">
        <f t="shared" si="2"/>
        <v>44822</v>
      </c>
      <c r="C19" s="81">
        <f t="shared" si="1"/>
        <v>44851</v>
      </c>
      <c r="D19" s="121">
        <v>100</v>
      </c>
      <c r="E19" s="104">
        <f t="shared" si="3"/>
        <v>1000</v>
      </c>
      <c r="F19" s="122">
        <v>1</v>
      </c>
      <c r="G19" s="102">
        <f>+E19*F19*BE!$F$47</f>
        <v>509.01383052412831</v>
      </c>
      <c r="H19" s="103">
        <f>+E19*F19*PE!$F$5</f>
        <v>174.08273003925189</v>
      </c>
      <c r="I19" s="102">
        <f>+E19*F19*LE!$F$3</f>
        <v>25.450691526206437</v>
      </c>
      <c r="J19" s="102">
        <f t="shared" si="0"/>
        <v>309.48040895867001</v>
      </c>
      <c r="O19" s="88"/>
      <c r="P19" s="74"/>
      <c r="Q19" s="74"/>
      <c r="R19" s="89"/>
      <c r="S19" s="74"/>
    </row>
    <row r="20" spans="2:19" ht="15">
      <c r="B20" s="81">
        <f t="shared" si="2"/>
        <v>44852</v>
      </c>
      <c r="C20" s="81">
        <f t="shared" si="1"/>
        <v>44882</v>
      </c>
      <c r="D20" s="121">
        <v>100</v>
      </c>
      <c r="E20" s="104">
        <f t="shared" si="3"/>
        <v>1100</v>
      </c>
      <c r="F20" s="122">
        <v>1</v>
      </c>
      <c r="G20" s="102">
        <f>+E20*F20*BE!$F$47</f>
        <v>559.91521357654108</v>
      </c>
      <c r="H20" s="103">
        <f>+E20*F20*PE!$F$5</f>
        <v>191.4910030431771</v>
      </c>
      <c r="I20" s="102">
        <f>+E20*F20*LE!$F$3</f>
        <v>27.995760678827082</v>
      </c>
      <c r="J20" s="102">
        <f t="shared" si="0"/>
        <v>340.42844985453689</v>
      </c>
      <c r="P20" s="90"/>
      <c r="R20" s="42"/>
    </row>
    <row r="21" spans="2:19" ht="15">
      <c r="B21" s="81">
        <f t="shared" si="2"/>
        <v>44883</v>
      </c>
      <c r="C21" s="81">
        <f t="shared" si="1"/>
        <v>44912</v>
      </c>
      <c r="D21" s="121">
        <v>100</v>
      </c>
      <c r="E21" s="104">
        <f t="shared" si="3"/>
        <v>1200</v>
      </c>
      <c r="F21" s="122">
        <v>1</v>
      </c>
      <c r="G21" s="102">
        <f>+E21*F21*BE!$F$47</f>
        <v>610.8165966289539</v>
      </c>
      <c r="H21" s="103">
        <f>+E21*F21*PE!$F$5</f>
        <v>208.89927604710229</v>
      </c>
      <c r="I21" s="102">
        <f>+E21*F21*LE!$F$3</f>
        <v>30.540829831447724</v>
      </c>
      <c r="J21" s="102">
        <f t="shared" si="0"/>
        <v>371.37649075040395</v>
      </c>
      <c r="O21" s="91"/>
      <c r="R21" s="42"/>
    </row>
    <row r="22" spans="2:19">
      <c r="B22" s="81">
        <f t="shared" si="2"/>
        <v>44913</v>
      </c>
      <c r="C22" s="81">
        <f t="shared" si="1"/>
        <v>44943</v>
      </c>
      <c r="D22" s="121">
        <v>100</v>
      </c>
      <c r="E22" s="104">
        <f t="shared" si="3"/>
        <v>1300</v>
      </c>
      <c r="F22" s="122">
        <v>1</v>
      </c>
      <c r="G22" s="102">
        <f>+E22*F22*BE!$F$47</f>
        <v>661.71797968136684</v>
      </c>
      <c r="H22" s="103">
        <f>+E22*F22*PE!$F$5</f>
        <v>226.30754905102748</v>
      </c>
      <c r="I22" s="102">
        <f>+E22*F22*LE!$F$3</f>
        <v>33.085898984068365</v>
      </c>
      <c r="J22" s="102">
        <f t="shared" si="0"/>
        <v>402.324531646271</v>
      </c>
      <c r="O22" s="45"/>
      <c r="P22" s="45"/>
      <c r="Q22" s="45"/>
      <c r="R22" s="65"/>
      <c r="S22" s="45"/>
    </row>
    <row r="23" spans="2:19">
      <c r="B23" s="81">
        <f t="shared" si="2"/>
        <v>44944</v>
      </c>
      <c r="C23" s="81">
        <f t="shared" si="1"/>
        <v>44974</v>
      </c>
      <c r="D23" s="121">
        <v>100</v>
      </c>
      <c r="E23" s="104">
        <f t="shared" si="3"/>
        <v>1400</v>
      </c>
      <c r="F23" s="122">
        <v>1</v>
      </c>
      <c r="G23" s="102">
        <f>+E23*F23*BE!$F$47</f>
        <v>712.61936273377967</v>
      </c>
      <c r="H23" s="103">
        <f>+E23*F23*PE!$F$5</f>
        <v>243.71582205495267</v>
      </c>
      <c r="I23" s="102">
        <f>+E23*F23*LE!$F$3</f>
        <v>35.630968136689013</v>
      </c>
      <c r="J23" s="102">
        <f t="shared" si="0"/>
        <v>433.27257254213794</v>
      </c>
      <c r="O23" s="45"/>
      <c r="P23" s="45"/>
      <c r="Q23" s="45"/>
      <c r="R23" s="65"/>
      <c r="S23" s="92"/>
    </row>
    <row r="24" spans="2:19">
      <c r="B24" s="81">
        <f t="shared" si="2"/>
        <v>44975</v>
      </c>
      <c r="C24" s="81">
        <f t="shared" si="1"/>
        <v>45002</v>
      </c>
      <c r="D24" s="121">
        <v>100</v>
      </c>
      <c r="E24" s="104">
        <f t="shared" si="3"/>
        <v>1500</v>
      </c>
      <c r="F24" s="122">
        <v>1</v>
      </c>
      <c r="G24" s="102">
        <f>+E24*F24*BE!$F$47</f>
        <v>763.52074578619249</v>
      </c>
      <c r="H24" s="103">
        <f>+E24*F24*PE!$F$5</f>
        <v>261.12409505887786</v>
      </c>
      <c r="I24" s="102">
        <f>+E24*F24*LE!$F$3</f>
        <v>38.176037289309654</v>
      </c>
      <c r="J24" s="102">
        <f t="shared" si="0"/>
        <v>464.22061343800499</v>
      </c>
      <c r="O24" s="45"/>
      <c r="P24" s="45"/>
      <c r="Q24" s="45"/>
      <c r="R24" s="65"/>
      <c r="S24" s="45"/>
    </row>
    <row r="25" spans="2:19">
      <c r="B25" s="81">
        <f t="shared" si="2"/>
        <v>45003</v>
      </c>
      <c r="C25" s="81">
        <f t="shared" si="1"/>
        <v>45033</v>
      </c>
      <c r="D25" s="121">
        <v>100</v>
      </c>
      <c r="E25" s="104">
        <f t="shared" si="3"/>
        <v>1600</v>
      </c>
      <c r="F25" s="122">
        <v>1</v>
      </c>
      <c r="G25" s="102">
        <f>+E25*F25*BE!$F$47</f>
        <v>814.42212883860532</v>
      </c>
      <c r="H25" s="103">
        <f>+E25*F25*PE!$F$5</f>
        <v>278.53236806280302</v>
      </c>
      <c r="I25" s="102">
        <f>+E25*F25*LE!$F$3</f>
        <v>40.721106441930303</v>
      </c>
      <c r="J25" s="102">
        <f t="shared" si="0"/>
        <v>495.16865433387198</v>
      </c>
    </row>
    <row r="26" spans="2:19">
      <c r="B26" s="81">
        <f t="shared" si="2"/>
        <v>45034</v>
      </c>
      <c r="C26" s="81">
        <f t="shared" si="1"/>
        <v>45063</v>
      </c>
      <c r="D26" s="121">
        <v>100</v>
      </c>
      <c r="E26" s="104">
        <f t="shared" si="3"/>
        <v>1700</v>
      </c>
      <c r="F26" s="122">
        <v>1</v>
      </c>
      <c r="G26" s="102">
        <f>+E26*F26*BE!$F$47</f>
        <v>865.32351189101814</v>
      </c>
      <c r="H26" s="103">
        <f>+E26*F26*PE!$F$5</f>
        <v>295.94064106672823</v>
      </c>
      <c r="I26" s="102">
        <f>+E26*F26*LE!$F$3</f>
        <v>43.266175594550944</v>
      </c>
      <c r="J26" s="102">
        <f t="shared" si="0"/>
        <v>526.11669522973898</v>
      </c>
    </row>
    <row r="27" spans="2:19">
      <c r="B27" s="81">
        <f t="shared" si="2"/>
        <v>45064</v>
      </c>
      <c r="C27" s="81">
        <f t="shared" si="1"/>
        <v>45094</v>
      </c>
      <c r="D27" s="121">
        <v>100</v>
      </c>
      <c r="E27" s="104">
        <f t="shared" si="3"/>
        <v>1800</v>
      </c>
      <c r="F27" s="122">
        <v>1</v>
      </c>
      <c r="G27" s="102">
        <f>+E27*F27*BE!$F$47</f>
        <v>916.22489494343097</v>
      </c>
      <c r="H27" s="103">
        <f>+E27*F27*PE!$F$5</f>
        <v>313.34891407065339</v>
      </c>
      <c r="I27" s="102">
        <f>+E27*F27*LE!$F$3</f>
        <v>45.811244747171585</v>
      </c>
      <c r="J27" s="102">
        <f t="shared" si="0"/>
        <v>557.06473612560592</v>
      </c>
    </row>
    <row r="28" spans="2:19">
      <c r="B28" s="81">
        <f t="shared" si="2"/>
        <v>45095</v>
      </c>
      <c r="C28" s="81">
        <f t="shared" si="1"/>
        <v>45124</v>
      </c>
      <c r="D28" s="121">
        <v>100</v>
      </c>
      <c r="E28" s="104">
        <f t="shared" si="3"/>
        <v>1900</v>
      </c>
      <c r="F28" s="122">
        <v>1</v>
      </c>
      <c r="G28" s="102">
        <f>+E28*F28*BE!$F$47</f>
        <v>967.12627799584379</v>
      </c>
      <c r="H28" s="103">
        <f>+E28*F28*PE!$F$5</f>
        <v>330.75718707457861</v>
      </c>
      <c r="I28" s="102">
        <f>+E28*F28*LE!$F$3</f>
        <v>48.356313899792234</v>
      </c>
      <c r="J28" s="102">
        <f t="shared" si="0"/>
        <v>588.01277702147297</v>
      </c>
    </row>
    <row r="29" spans="2:19">
      <c r="B29" s="81">
        <f t="shared" si="2"/>
        <v>45125</v>
      </c>
      <c r="C29" s="81">
        <f t="shared" si="1"/>
        <v>45155</v>
      </c>
      <c r="D29" s="121">
        <v>100</v>
      </c>
      <c r="E29" s="104">
        <f t="shared" si="3"/>
        <v>2000</v>
      </c>
      <c r="F29" s="122">
        <v>1</v>
      </c>
      <c r="G29" s="102">
        <f>+E29*F29*BE!$F$47</f>
        <v>1018.0276610482566</v>
      </c>
      <c r="H29" s="103">
        <f>+E29*F29*PE!$F$5</f>
        <v>348.16546007850377</v>
      </c>
      <c r="I29" s="102">
        <f>+E29*F29*LE!$F$3</f>
        <v>50.901383052412875</v>
      </c>
      <c r="J29" s="102">
        <f t="shared" si="0"/>
        <v>618.96081791734002</v>
      </c>
    </row>
    <row r="30" spans="2:19">
      <c r="B30" s="81">
        <f t="shared" si="2"/>
        <v>45156</v>
      </c>
      <c r="C30" s="81">
        <f t="shared" si="1"/>
        <v>45186</v>
      </c>
      <c r="D30" s="121">
        <v>100</v>
      </c>
      <c r="E30" s="104">
        <f t="shared" si="3"/>
        <v>2100</v>
      </c>
      <c r="F30" s="122">
        <v>1</v>
      </c>
      <c r="G30" s="102">
        <f>+E30*F30*BE!$F$47</f>
        <v>1068.9290441006694</v>
      </c>
      <c r="H30" s="103">
        <f>+E30*F30*PE!$F$5</f>
        <v>365.57373308242899</v>
      </c>
      <c r="I30" s="102">
        <f>+E30*F30*LE!$F$3</f>
        <v>53.446452205033516</v>
      </c>
      <c r="J30" s="102">
        <f t="shared" si="0"/>
        <v>649.90885881320685</v>
      </c>
    </row>
    <row r="31" spans="2:19">
      <c r="B31" s="81">
        <f t="shared" si="2"/>
        <v>45187</v>
      </c>
      <c r="C31" s="81">
        <f t="shared" si="1"/>
        <v>45216</v>
      </c>
      <c r="D31" s="121">
        <v>100</v>
      </c>
      <c r="E31" s="104">
        <f t="shared" si="3"/>
        <v>2200</v>
      </c>
      <c r="F31" s="122">
        <v>1</v>
      </c>
      <c r="G31" s="102">
        <f>+E31*F31*BE!$F$47</f>
        <v>1119.8304271530822</v>
      </c>
      <c r="H31" s="103">
        <f>+E31*F31*PE!$F$5</f>
        <v>382.9820060863542</v>
      </c>
      <c r="I31" s="102">
        <f>+E31*F31*LE!$F$3</f>
        <v>55.991521357654165</v>
      </c>
      <c r="J31" s="102">
        <f t="shared" si="0"/>
        <v>680.85689970907379</v>
      </c>
    </row>
    <row r="32" spans="2:19">
      <c r="B32" s="81">
        <f t="shared" si="2"/>
        <v>45217</v>
      </c>
      <c r="C32" s="81">
        <f t="shared" si="1"/>
        <v>45247</v>
      </c>
      <c r="D32" s="121">
        <v>100</v>
      </c>
      <c r="E32" s="104">
        <f t="shared" si="3"/>
        <v>2300</v>
      </c>
      <c r="F32" s="122">
        <v>1</v>
      </c>
      <c r="G32" s="102">
        <f>+E32*F32*BE!$F$47</f>
        <v>1170.7318102054951</v>
      </c>
      <c r="H32" s="103">
        <f>+E32*F32*PE!$F$5</f>
        <v>400.39027909027936</v>
      </c>
      <c r="I32" s="102">
        <f>+E32*F32*LE!$F$3</f>
        <v>58.536590510274806</v>
      </c>
      <c r="J32" s="102">
        <f t="shared" si="0"/>
        <v>711.80494060494095</v>
      </c>
    </row>
    <row r="33" spans="2:10">
      <c r="B33" s="81">
        <f t="shared" si="2"/>
        <v>45248</v>
      </c>
      <c r="C33" s="81">
        <f t="shared" si="1"/>
        <v>45277</v>
      </c>
      <c r="D33" s="121">
        <v>100</v>
      </c>
      <c r="E33" s="104">
        <f t="shared" si="3"/>
        <v>2400</v>
      </c>
      <c r="F33" s="122">
        <v>1</v>
      </c>
      <c r="G33" s="102">
        <f>+E33*F33*BE!$F$47</f>
        <v>1221.6331932579078</v>
      </c>
      <c r="H33" s="103">
        <f>+E33*F33*PE!$F$5</f>
        <v>417.79855209420458</v>
      </c>
      <c r="I33" s="102">
        <f>+E33*F33*LE!$F$3</f>
        <v>61.081659662895447</v>
      </c>
      <c r="J33" s="102">
        <f t="shared" si="0"/>
        <v>742.75298150080789</v>
      </c>
    </row>
    <row r="34" spans="2:10">
      <c r="B34" s="81">
        <f t="shared" si="2"/>
        <v>45278</v>
      </c>
      <c r="C34" s="81">
        <f t="shared" si="1"/>
        <v>45308</v>
      </c>
      <c r="D34" s="121">
        <v>100</v>
      </c>
      <c r="E34" s="104">
        <f t="shared" si="3"/>
        <v>2500</v>
      </c>
      <c r="F34" s="122">
        <v>1</v>
      </c>
      <c r="G34" s="102">
        <f>+E34*F34*BE!$F$47</f>
        <v>1272.5345763103207</v>
      </c>
      <c r="H34" s="103">
        <f>+E34*F34*PE!$F$5</f>
        <v>435.20682509812974</v>
      </c>
      <c r="I34" s="102">
        <f>+E34*F34*LE!$F$3</f>
        <v>63.626728815516095</v>
      </c>
      <c r="J34" s="102">
        <f t="shared" si="0"/>
        <v>773.70102239667494</v>
      </c>
    </row>
    <row r="35" spans="2:10">
      <c r="B35" s="81">
        <f t="shared" si="2"/>
        <v>45309</v>
      </c>
      <c r="C35" s="81">
        <f t="shared" si="1"/>
        <v>45339</v>
      </c>
      <c r="D35" s="121">
        <v>100</v>
      </c>
      <c r="E35" s="104">
        <f t="shared" si="3"/>
        <v>2600</v>
      </c>
      <c r="F35" s="122">
        <v>1</v>
      </c>
      <c r="G35" s="102">
        <f>+E35*F35*BE!$F$47</f>
        <v>1323.4359593627337</v>
      </c>
      <c r="H35" s="103">
        <f>+E35*F35*PE!$F$5</f>
        <v>452.61509810205496</v>
      </c>
      <c r="I35" s="102">
        <f>+E35*F35*LE!$F$3</f>
        <v>66.17179796813673</v>
      </c>
      <c r="J35" s="102">
        <f t="shared" si="0"/>
        <v>804.649063292542</v>
      </c>
    </row>
    <row r="36" spans="2:10">
      <c r="B36" s="81">
        <f t="shared" si="2"/>
        <v>45340</v>
      </c>
      <c r="C36" s="81">
        <f t="shared" si="1"/>
        <v>45368</v>
      </c>
      <c r="D36" s="121">
        <v>100</v>
      </c>
      <c r="E36" s="104">
        <f t="shared" si="3"/>
        <v>2700</v>
      </c>
      <c r="F36" s="122">
        <v>1</v>
      </c>
      <c r="G36" s="102">
        <f>+E36*F36*BE!$F$47</f>
        <v>1374.3373424151464</v>
      </c>
      <c r="H36" s="103">
        <f>+E36*F36*PE!$F$5</f>
        <v>470.02337110598012</v>
      </c>
      <c r="I36" s="102">
        <f>+E36*F36*LE!$F$3</f>
        <v>68.716867120757385</v>
      </c>
      <c r="J36" s="102">
        <f t="shared" si="0"/>
        <v>835.59710418840893</v>
      </c>
    </row>
    <row r="37" spans="2:10">
      <c r="B37" s="81">
        <f t="shared" si="2"/>
        <v>45369</v>
      </c>
      <c r="C37" s="81">
        <f t="shared" si="1"/>
        <v>45399</v>
      </c>
      <c r="D37" s="121">
        <v>100</v>
      </c>
      <c r="E37" s="104">
        <f t="shared" si="3"/>
        <v>2800</v>
      </c>
      <c r="F37" s="122">
        <v>1</v>
      </c>
      <c r="G37" s="102">
        <f>+E37*F37*BE!$F$47</f>
        <v>1425.2387254675593</v>
      </c>
      <c r="H37" s="103">
        <f>+E37*F37*PE!$F$5</f>
        <v>487.43164410990533</v>
      </c>
      <c r="I37" s="102">
        <f>+E37*F37*LE!$F$3</f>
        <v>71.261936273378026</v>
      </c>
      <c r="J37" s="102">
        <f t="shared" si="0"/>
        <v>866.54514508427587</v>
      </c>
    </row>
    <row r="38" spans="2:10">
      <c r="B38" s="81">
        <f t="shared" si="2"/>
        <v>45400</v>
      </c>
      <c r="C38" s="81">
        <f t="shared" si="1"/>
        <v>45429</v>
      </c>
      <c r="D38" s="121">
        <v>100</v>
      </c>
      <c r="E38" s="104">
        <f t="shared" si="3"/>
        <v>2900</v>
      </c>
      <c r="F38" s="122">
        <v>1</v>
      </c>
      <c r="G38" s="102">
        <f>+E38*F38*BE!$F$47</f>
        <v>1476.140108519972</v>
      </c>
      <c r="H38" s="103">
        <f>+E38*F38*PE!$F$5</f>
        <v>504.8399171138305</v>
      </c>
      <c r="I38" s="102">
        <f>+E38*F38*LE!$F$3</f>
        <v>73.807005425998668</v>
      </c>
      <c r="J38" s="102">
        <f t="shared" si="0"/>
        <v>897.49318598014281</v>
      </c>
    </row>
    <row r="39" spans="2:10">
      <c r="B39" s="81">
        <f t="shared" si="2"/>
        <v>45430</v>
      </c>
      <c r="C39" s="81">
        <f t="shared" si="1"/>
        <v>45460</v>
      </c>
      <c r="D39" s="121">
        <v>100</v>
      </c>
      <c r="E39" s="104">
        <f t="shared" si="3"/>
        <v>3000</v>
      </c>
      <c r="F39" s="122">
        <v>1</v>
      </c>
      <c r="G39" s="102">
        <f>+E39*F39*BE!$F$47</f>
        <v>1527.041491572385</v>
      </c>
      <c r="H39" s="103">
        <f>+E39*F39*PE!$F$5</f>
        <v>522.24819011775571</v>
      </c>
      <c r="I39" s="102">
        <f>+E39*F39*LE!$F$3</f>
        <v>76.352074578619309</v>
      </c>
      <c r="J39" s="102">
        <f t="shared" si="0"/>
        <v>928.44122687600998</v>
      </c>
    </row>
    <row r="40" spans="2:10">
      <c r="B40" s="81">
        <f t="shared" si="2"/>
        <v>45461</v>
      </c>
      <c r="C40" s="81">
        <f t="shared" si="1"/>
        <v>45490</v>
      </c>
      <c r="D40" s="121">
        <v>100</v>
      </c>
      <c r="E40" s="104">
        <f t="shared" si="3"/>
        <v>3100</v>
      </c>
      <c r="F40" s="122">
        <v>1</v>
      </c>
      <c r="G40" s="102">
        <f>+E40*F40*BE!$F$47</f>
        <v>1577.9428746247977</v>
      </c>
      <c r="H40" s="103">
        <f>+E40*F40*PE!$F$5</f>
        <v>539.65646312168087</v>
      </c>
      <c r="I40" s="102">
        <f>+E40*F40*LE!$F$3</f>
        <v>78.89714373123995</v>
      </c>
      <c r="J40" s="102">
        <f t="shared" si="0"/>
        <v>959.38926777187692</v>
      </c>
    </row>
    <row r="41" spans="2:10">
      <c r="B41" s="81">
        <f t="shared" si="2"/>
        <v>45491</v>
      </c>
      <c r="C41" s="81">
        <f t="shared" si="1"/>
        <v>45521</v>
      </c>
      <c r="D41" s="121">
        <v>100</v>
      </c>
      <c r="E41" s="104">
        <f t="shared" si="3"/>
        <v>3200</v>
      </c>
      <c r="F41" s="122">
        <v>1</v>
      </c>
      <c r="G41" s="102">
        <f>+E41*F41*BE!$F$47</f>
        <v>1628.8442576772106</v>
      </c>
      <c r="H41" s="103">
        <f>+E41*F41*PE!$F$5</f>
        <v>557.06473612560603</v>
      </c>
      <c r="I41" s="102">
        <f>+E41*F41*LE!$F$3</f>
        <v>81.442212883860606</v>
      </c>
      <c r="J41" s="102">
        <f t="shared" si="0"/>
        <v>990.33730866774397</v>
      </c>
    </row>
    <row r="42" spans="2:10">
      <c r="B42" s="81">
        <f t="shared" si="2"/>
        <v>45522</v>
      </c>
      <c r="C42" s="81">
        <f t="shared" si="1"/>
        <v>45552</v>
      </c>
      <c r="D42" s="121">
        <v>100</v>
      </c>
      <c r="E42" s="104">
        <f t="shared" si="3"/>
        <v>3300</v>
      </c>
      <c r="F42" s="122">
        <v>1</v>
      </c>
      <c r="G42" s="102">
        <f>+E42*F42*BE!$F$47</f>
        <v>1679.7456407296233</v>
      </c>
      <c r="H42" s="103">
        <f>+E42*F42*PE!$F$5</f>
        <v>574.47300912953131</v>
      </c>
      <c r="I42" s="102">
        <f>+E42*F42*LE!$F$3</f>
        <v>83.987282036481247</v>
      </c>
      <c r="J42" s="102">
        <f t="shared" si="0"/>
        <v>1021.2853495636109</v>
      </c>
    </row>
    <row r="43" spans="2:10">
      <c r="B43" s="81">
        <f t="shared" si="2"/>
        <v>45553</v>
      </c>
      <c r="C43" s="81">
        <f t="shared" si="1"/>
        <v>45582</v>
      </c>
      <c r="D43" s="121">
        <v>100</v>
      </c>
      <c r="E43" s="104">
        <f t="shared" si="3"/>
        <v>3400</v>
      </c>
      <c r="F43" s="122">
        <v>1</v>
      </c>
      <c r="G43" s="102">
        <f>+E43*F43*BE!$F$47</f>
        <v>1730.6470237820363</v>
      </c>
      <c r="H43" s="103">
        <f>+E43*F43*PE!$F$5</f>
        <v>591.88128213345647</v>
      </c>
      <c r="I43" s="102">
        <f>+E43*F43*LE!$F$3</f>
        <v>86.532351189101888</v>
      </c>
      <c r="J43" s="102">
        <f t="shared" si="0"/>
        <v>1052.233390459478</v>
      </c>
    </row>
    <row r="44" spans="2:10">
      <c r="B44" s="81">
        <f t="shared" si="2"/>
        <v>45583</v>
      </c>
      <c r="C44" s="81">
        <f t="shared" si="1"/>
        <v>45613</v>
      </c>
      <c r="D44" s="121">
        <v>100</v>
      </c>
      <c r="E44" s="104">
        <f t="shared" si="3"/>
        <v>3500</v>
      </c>
      <c r="F44" s="122">
        <v>1</v>
      </c>
      <c r="G44" s="102">
        <f>+E44*F44*BE!$F$47</f>
        <v>1781.548406834449</v>
      </c>
      <c r="H44" s="103">
        <f>+E44*F44*PE!$F$5</f>
        <v>609.28955513738163</v>
      </c>
      <c r="I44" s="102">
        <f>+E44*F44*LE!$F$3</f>
        <v>89.077420341722529</v>
      </c>
      <c r="J44" s="102">
        <f t="shared" si="0"/>
        <v>1083.1814313553448</v>
      </c>
    </row>
    <row r="45" spans="2:10">
      <c r="B45" s="81">
        <f t="shared" si="2"/>
        <v>45614</v>
      </c>
      <c r="C45" s="81">
        <f t="shared" si="1"/>
        <v>45643</v>
      </c>
      <c r="D45" s="121">
        <v>100</v>
      </c>
      <c r="E45" s="104">
        <f t="shared" si="3"/>
        <v>3600</v>
      </c>
      <c r="F45" s="122">
        <v>1</v>
      </c>
      <c r="G45" s="102">
        <f>+E45*F45*BE!$F$47</f>
        <v>1832.4497898868619</v>
      </c>
      <c r="H45" s="103">
        <f>+E45*F45*PE!$F$5</f>
        <v>626.69782814130679</v>
      </c>
      <c r="I45" s="102">
        <f>+E45*F45*LE!$F$3</f>
        <v>91.622489494343171</v>
      </c>
      <c r="J45" s="102">
        <f t="shared" si="0"/>
        <v>1114.1294722512118</v>
      </c>
    </row>
    <row r="46" spans="2:10">
      <c r="B46" s="81">
        <f t="shared" si="2"/>
        <v>45644</v>
      </c>
      <c r="C46" s="81">
        <f t="shared" si="1"/>
        <v>45674</v>
      </c>
      <c r="D46" s="121">
        <v>100</v>
      </c>
      <c r="E46" s="104">
        <f t="shared" si="3"/>
        <v>3700</v>
      </c>
      <c r="F46" s="122">
        <v>1</v>
      </c>
      <c r="G46" s="102">
        <f>+E46*F46*BE!$F$47</f>
        <v>1883.3511729392746</v>
      </c>
      <c r="H46" s="103">
        <f>+E46*F46*PE!$F$5</f>
        <v>644.10610114523206</v>
      </c>
      <c r="I46" s="102">
        <f>+E46*F46*LE!$F$3</f>
        <v>94.167558646963812</v>
      </c>
      <c r="J46" s="102">
        <f t="shared" si="0"/>
        <v>1145.0775131470787</v>
      </c>
    </row>
    <row r="47" spans="2:10">
      <c r="B47" s="81">
        <f t="shared" si="2"/>
        <v>45675</v>
      </c>
      <c r="C47" s="81">
        <f t="shared" si="1"/>
        <v>45705</v>
      </c>
      <c r="D47" s="121">
        <v>100</v>
      </c>
      <c r="E47" s="104">
        <f t="shared" si="3"/>
        <v>3800</v>
      </c>
      <c r="F47" s="122">
        <v>1</v>
      </c>
      <c r="G47" s="102">
        <f>+E47*F47*BE!$F$47</f>
        <v>1934.2525559916876</v>
      </c>
      <c r="H47" s="103">
        <f>+E47*F47*PE!$F$5</f>
        <v>661.51437414915722</v>
      </c>
      <c r="I47" s="102">
        <f>+E47*F47*LE!$F$3</f>
        <v>96.712627799584467</v>
      </c>
      <c r="J47" s="102">
        <f t="shared" si="0"/>
        <v>1176.0255540429459</v>
      </c>
    </row>
    <row r="48" spans="2:10">
      <c r="B48" s="81">
        <f t="shared" si="2"/>
        <v>45706</v>
      </c>
      <c r="C48" s="81">
        <f t="shared" si="1"/>
        <v>45733</v>
      </c>
      <c r="D48" s="121">
        <v>100</v>
      </c>
      <c r="E48" s="104">
        <f t="shared" si="3"/>
        <v>3900</v>
      </c>
      <c r="F48" s="122">
        <v>1</v>
      </c>
      <c r="G48" s="102">
        <f>+E48*F48*BE!$F$47</f>
        <v>1985.1539390441003</v>
      </c>
      <c r="H48" s="103">
        <f>+E48*F48*PE!$F$5</f>
        <v>678.92264715308238</v>
      </c>
      <c r="I48" s="102">
        <f>+E48*F48*LE!$F$3</f>
        <v>99.257696952205109</v>
      </c>
      <c r="J48" s="102">
        <f t="shared" si="0"/>
        <v>1206.9735949388128</v>
      </c>
    </row>
    <row r="49" spans="2:10">
      <c r="B49" s="81">
        <f t="shared" si="2"/>
        <v>45734</v>
      </c>
      <c r="C49" s="81">
        <f t="shared" si="1"/>
        <v>45764</v>
      </c>
      <c r="D49" s="121">
        <v>100</v>
      </c>
      <c r="E49" s="104">
        <f t="shared" si="3"/>
        <v>4000</v>
      </c>
      <c r="F49" s="122">
        <v>1</v>
      </c>
      <c r="G49" s="102">
        <f>+E49*F49*BE!$F$47</f>
        <v>2036.0553220965132</v>
      </c>
      <c r="H49" s="103">
        <f>+E49*F49*PE!$F$5</f>
        <v>696.33092015700754</v>
      </c>
      <c r="I49" s="102">
        <f>+E49*F49*LE!$F$3</f>
        <v>101.80276610482575</v>
      </c>
      <c r="J49" s="102">
        <f t="shared" si="0"/>
        <v>1237.92163583468</v>
      </c>
    </row>
    <row r="50" spans="2:10">
      <c r="B50" s="81">
        <f t="shared" si="2"/>
        <v>45765</v>
      </c>
      <c r="C50" s="81">
        <f t="shared" si="1"/>
        <v>45794</v>
      </c>
      <c r="D50" s="121">
        <v>100</v>
      </c>
      <c r="E50" s="104">
        <f t="shared" si="3"/>
        <v>4100</v>
      </c>
      <c r="F50" s="122">
        <v>1</v>
      </c>
      <c r="G50" s="102">
        <f>+E50*F50*BE!$F$47</f>
        <v>2086.9567051489262</v>
      </c>
      <c r="H50" s="103">
        <f>+E50*F50*PE!$F$5</f>
        <v>713.73919316093281</v>
      </c>
      <c r="I50" s="102">
        <f>+E50*F50*LE!$F$3</f>
        <v>104.34783525744639</v>
      </c>
      <c r="J50" s="102">
        <f t="shared" si="0"/>
        <v>1268.8696767305471</v>
      </c>
    </row>
    <row r="51" spans="2:10">
      <c r="B51" s="81">
        <f t="shared" si="2"/>
        <v>45795</v>
      </c>
      <c r="C51" s="81">
        <f t="shared" si="1"/>
        <v>45825</v>
      </c>
      <c r="D51" s="121">
        <v>100</v>
      </c>
      <c r="E51" s="104">
        <f t="shared" si="3"/>
        <v>4200</v>
      </c>
      <c r="F51" s="122">
        <v>1</v>
      </c>
      <c r="G51" s="102">
        <f>+E51*F51*BE!$F$47</f>
        <v>2137.8580882013389</v>
      </c>
      <c r="H51" s="103">
        <f>+E51*F51*PE!$F$5</f>
        <v>731.14746616485797</v>
      </c>
      <c r="I51" s="102">
        <f>+E51*F51*LE!$F$3</f>
        <v>106.89290441006703</v>
      </c>
      <c r="J51" s="102">
        <f t="shared" si="0"/>
        <v>1299.8177176264137</v>
      </c>
    </row>
    <row r="52" spans="2:10">
      <c r="B52" s="81">
        <f t="shared" si="2"/>
        <v>45826</v>
      </c>
      <c r="C52" s="81">
        <f t="shared" si="1"/>
        <v>45855</v>
      </c>
      <c r="D52" s="121">
        <v>100</v>
      </c>
      <c r="E52" s="104">
        <f t="shared" si="3"/>
        <v>4300</v>
      </c>
      <c r="F52" s="122">
        <v>1</v>
      </c>
      <c r="G52" s="102">
        <f>+E52*F52*BE!$F$47</f>
        <v>2188.7594712537516</v>
      </c>
      <c r="H52" s="103">
        <f>+E52*F52*PE!$F$5</f>
        <v>748.55573916878313</v>
      </c>
      <c r="I52" s="102">
        <f>+E52*F52*LE!$F$3</f>
        <v>109.43797356268767</v>
      </c>
      <c r="J52" s="102">
        <f t="shared" si="0"/>
        <v>1330.765758522281</v>
      </c>
    </row>
    <row r="53" spans="2:10">
      <c r="B53" s="81">
        <f t="shared" si="2"/>
        <v>45856</v>
      </c>
      <c r="C53" s="81">
        <f t="shared" si="1"/>
        <v>45886</v>
      </c>
      <c r="D53" s="121">
        <v>100</v>
      </c>
      <c r="E53" s="104">
        <f t="shared" si="3"/>
        <v>4400</v>
      </c>
      <c r="F53" s="122">
        <v>1</v>
      </c>
      <c r="G53" s="102">
        <f>+E53*F53*BE!$F$47</f>
        <v>2239.6608543061643</v>
      </c>
      <c r="H53" s="103">
        <f>+E53*F53*PE!$F$5</f>
        <v>765.96401217270841</v>
      </c>
      <c r="I53" s="102">
        <f>+E53*F53*LE!$F$3</f>
        <v>111.98304271530833</v>
      </c>
      <c r="J53" s="102">
        <f t="shared" si="0"/>
        <v>1361.7137994181476</v>
      </c>
    </row>
    <row r="54" spans="2:10">
      <c r="B54" s="81">
        <f t="shared" si="2"/>
        <v>45887</v>
      </c>
      <c r="C54" s="81">
        <f t="shared" si="1"/>
        <v>45917</v>
      </c>
      <c r="D54" s="121">
        <v>100</v>
      </c>
      <c r="E54" s="104">
        <f t="shared" si="3"/>
        <v>4500</v>
      </c>
      <c r="F54" s="122">
        <v>1</v>
      </c>
      <c r="G54" s="102">
        <f>+E54*F54*BE!$F$47</f>
        <v>2290.5622373585775</v>
      </c>
      <c r="H54" s="103">
        <f>+E54*F54*PE!$F$5</f>
        <v>783.37228517663357</v>
      </c>
      <c r="I54" s="102">
        <f>+E54*F54*LE!$F$3</f>
        <v>114.52811186792897</v>
      </c>
      <c r="J54" s="102">
        <f t="shared" si="0"/>
        <v>1392.6618403140149</v>
      </c>
    </row>
    <row r="55" spans="2:10">
      <c r="B55" s="81">
        <f t="shared" si="2"/>
        <v>45918</v>
      </c>
      <c r="C55" s="81">
        <f t="shared" si="1"/>
        <v>45947</v>
      </c>
      <c r="D55" s="121">
        <v>100</v>
      </c>
      <c r="E55" s="104">
        <f t="shared" ref="E55:E110" si="4">D54+E54</f>
        <v>4600</v>
      </c>
      <c r="F55" s="122">
        <v>1</v>
      </c>
      <c r="G55" s="102">
        <f>+E55*F55*BE!$F$47</f>
        <v>2341.4636204109902</v>
      </c>
      <c r="H55" s="103">
        <f>+E55*F55*PE!$F$5</f>
        <v>800.78055818055873</v>
      </c>
      <c r="I55" s="102">
        <f>+E55*F55*LE!$F$3</f>
        <v>117.07318102054961</v>
      </c>
      <c r="J55" s="102">
        <f t="shared" ref="J55:J110" si="5">+G55-H55-I55</f>
        <v>1423.6098812098819</v>
      </c>
    </row>
    <row r="56" spans="2:10">
      <c r="B56" s="81">
        <f t="shared" si="2"/>
        <v>45948</v>
      </c>
      <c r="C56" s="81">
        <f t="shared" si="1"/>
        <v>45978</v>
      </c>
      <c r="D56" s="121">
        <v>100</v>
      </c>
      <c r="E56" s="104">
        <f t="shared" si="4"/>
        <v>4700</v>
      </c>
      <c r="F56" s="122">
        <v>1</v>
      </c>
      <c r="G56" s="102">
        <f>+E56*F56*BE!$F$47</f>
        <v>2392.3650034634029</v>
      </c>
      <c r="H56" s="103">
        <f>+E56*F56*PE!$F$5</f>
        <v>818.18883118448389</v>
      </c>
      <c r="I56" s="102">
        <f>+E56*F56*LE!$F$3</f>
        <v>119.61825017317025</v>
      </c>
      <c r="J56" s="102">
        <f t="shared" si="5"/>
        <v>1454.5579221057487</v>
      </c>
    </row>
    <row r="57" spans="2:10">
      <c r="B57" s="81">
        <f t="shared" si="2"/>
        <v>45979</v>
      </c>
      <c r="C57" s="81">
        <f t="shared" si="1"/>
        <v>46008</v>
      </c>
      <c r="D57" s="121">
        <v>100</v>
      </c>
      <c r="E57" s="104">
        <f t="shared" si="4"/>
        <v>4800</v>
      </c>
      <c r="F57" s="122">
        <v>1</v>
      </c>
      <c r="G57" s="102">
        <f>+E57*F57*BE!$F$47</f>
        <v>2443.2663865158156</v>
      </c>
      <c r="H57" s="103">
        <f>+E57*F57*PE!$F$5</f>
        <v>835.59710418840916</v>
      </c>
      <c r="I57" s="102">
        <f>+E57*F57*LE!$F$3</f>
        <v>122.16331932579089</v>
      </c>
      <c r="J57" s="102">
        <f t="shared" si="5"/>
        <v>1485.5059630016158</v>
      </c>
    </row>
    <row r="58" spans="2:10">
      <c r="B58" s="81">
        <f t="shared" si="2"/>
        <v>46009</v>
      </c>
      <c r="C58" s="81">
        <f t="shared" si="1"/>
        <v>46039</v>
      </c>
      <c r="D58" s="121">
        <v>100</v>
      </c>
      <c r="E58" s="104">
        <f t="shared" si="4"/>
        <v>4900</v>
      </c>
      <c r="F58" s="122">
        <v>1</v>
      </c>
      <c r="G58" s="102">
        <f>+E58*F58*BE!$F$47</f>
        <v>2494.1677695682288</v>
      </c>
      <c r="H58" s="103">
        <f>+E58*F58*PE!$F$5</f>
        <v>853.00537719233432</v>
      </c>
      <c r="I58" s="102">
        <f>+E58*F58*LE!$F$3</f>
        <v>124.70838847841154</v>
      </c>
      <c r="J58" s="102">
        <f t="shared" si="5"/>
        <v>1516.4540038974828</v>
      </c>
    </row>
    <row r="59" spans="2:10">
      <c r="B59" s="81">
        <f t="shared" si="2"/>
        <v>46040</v>
      </c>
      <c r="C59" s="81">
        <f t="shared" si="1"/>
        <v>46070</v>
      </c>
      <c r="D59" s="121">
        <v>100</v>
      </c>
      <c r="E59" s="104">
        <f t="shared" si="4"/>
        <v>5000</v>
      </c>
      <c r="F59" s="122">
        <v>1</v>
      </c>
      <c r="G59" s="102">
        <f>+E59*F59*BE!$F$47</f>
        <v>2545.0691526206415</v>
      </c>
      <c r="H59" s="103">
        <f>+E59*F59*PE!$F$5</f>
        <v>870.41365019625948</v>
      </c>
      <c r="I59" s="102">
        <f>+E59*F59*LE!$F$3</f>
        <v>127.25345763103219</v>
      </c>
      <c r="J59" s="102">
        <f t="shared" si="5"/>
        <v>1547.4020447933499</v>
      </c>
    </row>
    <row r="60" spans="2:10">
      <c r="B60" s="81">
        <f t="shared" si="2"/>
        <v>46071</v>
      </c>
      <c r="C60" s="81">
        <f t="shared" si="1"/>
        <v>46098</v>
      </c>
      <c r="D60" s="121">
        <v>100</v>
      </c>
      <c r="E60" s="104">
        <f t="shared" si="4"/>
        <v>5100</v>
      </c>
      <c r="F60" s="122">
        <v>1</v>
      </c>
      <c r="G60" s="102">
        <f>+E60*F60*BE!$F$47</f>
        <v>2595.9705356730542</v>
      </c>
      <c r="H60" s="103">
        <f>+E60*F60*PE!$F$5</f>
        <v>887.82192320018464</v>
      </c>
      <c r="I60" s="102">
        <f>+E60*F60*LE!$F$3</f>
        <v>129.79852678365282</v>
      </c>
      <c r="J60" s="102">
        <f t="shared" si="5"/>
        <v>1578.3500856892167</v>
      </c>
    </row>
    <row r="61" spans="2:10">
      <c r="B61" s="81">
        <f t="shared" si="2"/>
        <v>46099</v>
      </c>
      <c r="C61" s="81">
        <f t="shared" si="1"/>
        <v>46129</v>
      </c>
      <c r="D61" s="121">
        <v>100</v>
      </c>
      <c r="E61" s="104">
        <f t="shared" si="4"/>
        <v>5200</v>
      </c>
      <c r="F61" s="122">
        <v>1</v>
      </c>
      <c r="G61" s="102">
        <f>+E61*F61*BE!$F$47</f>
        <v>2646.8719187254674</v>
      </c>
      <c r="H61" s="103">
        <f>+E61*F61*PE!$F$5</f>
        <v>905.23019620410992</v>
      </c>
      <c r="I61" s="102">
        <f>+E61*F61*LE!$F$3</f>
        <v>132.34359593627346</v>
      </c>
      <c r="J61" s="102">
        <f t="shared" si="5"/>
        <v>1609.298126585084</v>
      </c>
    </row>
    <row r="62" spans="2:10">
      <c r="B62" s="81">
        <f t="shared" si="2"/>
        <v>46130</v>
      </c>
      <c r="C62" s="81">
        <f t="shared" si="1"/>
        <v>46159</v>
      </c>
      <c r="D62" s="121">
        <v>100</v>
      </c>
      <c r="E62" s="104">
        <f t="shared" si="4"/>
        <v>5300</v>
      </c>
      <c r="F62" s="122">
        <v>1</v>
      </c>
      <c r="G62" s="102">
        <f>+E62*F62*BE!$F$47</f>
        <v>2697.7733017778801</v>
      </c>
      <c r="H62" s="103">
        <f>+E62*F62*PE!$F$5</f>
        <v>922.63846920803508</v>
      </c>
      <c r="I62" s="102">
        <f>+E62*F62*LE!$F$3</f>
        <v>134.88866508889413</v>
      </c>
      <c r="J62" s="102">
        <f t="shared" si="5"/>
        <v>1640.2461674809508</v>
      </c>
    </row>
    <row r="63" spans="2:10">
      <c r="B63" s="81">
        <f t="shared" si="2"/>
        <v>46160</v>
      </c>
      <c r="C63" s="81">
        <f t="shared" si="1"/>
        <v>46190</v>
      </c>
      <c r="D63" s="121">
        <v>100</v>
      </c>
      <c r="E63" s="104">
        <f t="shared" si="4"/>
        <v>5400</v>
      </c>
      <c r="F63" s="122">
        <v>1</v>
      </c>
      <c r="G63" s="102">
        <f>+E63*F63*BE!$F$47</f>
        <v>2748.6746848302928</v>
      </c>
      <c r="H63" s="103">
        <f>+E63*F63*PE!$F$5</f>
        <v>940.04674221196024</v>
      </c>
      <c r="I63" s="102">
        <f>+E63*F63*LE!$F$3</f>
        <v>137.43373424151477</v>
      </c>
      <c r="J63" s="102">
        <f t="shared" si="5"/>
        <v>1671.1942083768179</v>
      </c>
    </row>
    <row r="64" spans="2:10">
      <c r="B64" s="81">
        <f t="shared" si="2"/>
        <v>46191</v>
      </c>
      <c r="C64" s="81">
        <f t="shared" si="1"/>
        <v>46220</v>
      </c>
      <c r="D64" s="121">
        <v>100</v>
      </c>
      <c r="E64" s="104">
        <f t="shared" si="4"/>
        <v>5500</v>
      </c>
      <c r="F64" s="122">
        <v>1</v>
      </c>
      <c r="G64" s="102">
        <f>+E64*F64*BE!$F$47</f>
        <v>2799.5760678827055</v>
      </c>
      <c r="H64" s="103">
        <f>+E64*F64*PE!$F$5</f>
        <v>957.4550152158854</v>
      </c>
      <c r="I64" s="102">
        <f>+E64*F64*LE!$F$3</f>
        <v>139.97880339413541</v>
      </c>
      <c r="J64" s="102">
        <f t="shared" si="5"/>
        <v>1702.1422492726847</v>
      </c>
    </row>
    <row r="65" spans="2:10">
      <c r="B65" s="81">
        <f t="shared" si="2"/>
        <v>46221</v>
      </c>
      <c r="C65" s="81">
        <f t="shared" si="1"/>
        <v>46251</v>
      </c>
      <c r="D65" s="121">
        <v>100</v>
      </c>
      <c r="E65" s="104">
        <f t="shared" si="4"/>
        <v>5600</v>
      </c>
      <c r="F65" s="122">
        <v>1</v>
      </c>
      <c r="G65" s="102">
        <f>+E65*F65*BE!$F$47</f>
        <v>2850.4774509351187</v>
      </c>
      <c r="H65" s="103">
        <f>+E65*F65*PE!$F$5</f>
        <v>974.86328821981067</v>
      </c>
      <c r="I65" s="102">
        <f>+E65*F65*LE!$F$3</f>
        <v>142.52387254675605</v>
      </c>
      <c r="J65" s="102">
        <f t="shared" si="5"/>
        <v>1733.0902901685517</v>
      </c>
    </row>
    <row r="66" spans="2:10">
      <c r="B66" s="81">
        <f t="shared" si="2"/>
        <v>46252</v>
      </c>
      <c r="C66" s="81">
        <f t="shared" si="1"/>
        <v>46282</v>
      </c>
      <c r="D66" s="121">
        <v>100</v>
      </c>
      <c r="E66" s="104">
        <f t="shared" si="4"/>
        <v>5700</v>
      </c>
      <c r="F66" s="122">
        <v>1</v>
      </c>
      <c r="G66" s="102">
        <f>+E66*F66*BE!$F$47</f>
        <v>2901.3788339875314</v>
      </c>
      <c r="H66" s="103">
        <f>+E66*F66*PE!$F$5</f>
        <v>992.27156122373583</v>
      </c>
      <c r="I66" s="102">
        <f>+E66*F66*LE!$F$3</f>
        <v>145.06894169937669</v>
      </c>
      <c r="J66" s="102">
        <f t="shared" si="5"/>
        <v>1764.038331064419</v>
      </c>
    </row>
    <row r="67" spans="2:10">
      <c r="B67" s="81">
        <f t="shared" si="2"/>
        <v>46283</v>
      </c>
      <c r="C67" s="81">
        <f t="shared" si="1"/>
        <v>46312</v>
      </c>
      <c r="D67" s="121">
        <v>100</v>
      </c>
      <c r="E67" s="104">
        <f t="shared" si="4"/>
        <v>5800</v>
      </c>
      <c r="F67" s="122">
        <v>1</v>
      </c>
      <c r="G67" s="102">
        <f>+E67*F67*BE!$F$47</f>
        <v>2952.2802170399441</v>
      </c>
      <c r="H67" s="103">
        <f>+E67*F67*PE!$F$5</f>
        <v>1009.679834227661</v>
      </c>
      <c r="I67" s="102">
        <f>+E67*F67*LE!$F$3</f>
        <v>147.61401085199734</v>
      </c>
      <c r="J67" s="102">
        <f t="shared" si="5"/>
        <v>1794.9863719602856</v>
      </c>
    </row>
    <row r="68" spans="2:10">
      <c r="B68" s="81">
        <f t="shared" si="2"/>
        <v>46313</v>
      </c>
      <c r="C68" s="81">
        <f t="shared" si="1"/>
        <v>46343</v>
      </c>
      <c r="D68" s="121">
        <v>100</v>
      </c>
      <c r="E68" s="104">
        <f t="shared" si="4"/>
        <v>5900</v>
      </c>
      <c r="F68" s="122">
        <v>1</v>
      </c>
      <c r="G68" s="102">
        <f>+E68*F68*BE!$F$47</f>
        <v>3003.1816000923568</v>
      </c>
      <c r="H68" s="103">
        <f>+E68*F68*PE!$F$5</f>
        <v>1027.0881072315863</v>
      </c>
      <c r="I68" s="102">
        <f>+E68*F68*LE!$F$3</f>
        <v>150.15908000461798</v>
      </c>
      <c r="J68" s="102">
        <f t="shared" si="5"/>
        <v>1825.9344128561524</v>
      </c>
    </row>
    <row r="69" spans="2:10">
      <c r="B69" s="81">
        <f t="shared" si="2"/>
        <v>46344</v>
      </c>
      <c r="C69" s="81">
        <f t="shared" si="1"/>
        <v>46373</v>
      </c>
      <c r="D69" s="121">
        <v>100</v>
      </c>
      <c r="E69" s="104">
        <f t="shared" si="4"/>
        <v>6000</v>
      </c>
      <c r="F69" s="122">
        <v>1</v>
      </c>
      <c r="G69" s="102">
        <f>+E69*F69*BE!$F$47</f>
        <v>3054.08298314477</v>
      </c>
      <c r="H69" s="103">
        <f>+E69*F69*PE!$F$5</f>
        <v>1044.4963802355114</v>
      </c>
      <c r="I69" s="102">
        <f>+E69*F69*LE!$F$3</f>
        <v>152.70414915723862</v>
      </c>
      <c r="J69" s="102">
        <f t="shared" si="5"/>
        <v>1856.88245375202</v>
      </c>
    </row>
    <row r="70" spans="2:10">
      <c r="B70" s="81">
        <f t="shared" si="2"/>
        <v>46374</v>
      </c>
      <c r="C70" s="81">
        <f t="shared" si="1"/>
        <v>46404</v>
      </c>
      <c r="D70" s="121">
        <v>100</v>
      </c>
      <c r="E70" s="104">
        <f t="shared" si="4"/>
        <v>6100</v>
      </c>
      <c r="F70" s="122">
        <v>1</v>
      </c>
      <c r="G70" s="102">
        <f>+E70*F70*BE!$F$47</f>
        <v>3104.9843661971827</v>
      </c>
      <c r="H70" s="103">
        <f>+E70*F70*PE!$F$5</f>
        <v>1061.9046532394366</v>
      </c>
      <c r="I70" s="102">
        <f>+E70*F70*LE!$F$3</f>
        <v>155.24921830985926</v>
      </c>
      <c r="J70" s="102">
        <f t="shared" si="5"/>
        <v>1887.8304946478868</v>
      </c>
    </row>
    <row r="71" spans="2:10">
      <c r="B71" s="81">
        <f t="shared" si="2"/>
        <v>46405</v>
      </c>
      <c r="C71" s="81">
        <f t="shared" si="1"/>
        <v>46435</v>
      </c>
      <c r="D71" s="121">
        <v>100</v>
      </c>
      <c r="E71" s="104">
        <f t="shared" si="4"/>
        <v>6200</v>
      </c>
      <c r="F71" s="122">
        <v>1</v>
      </c>
      <c r="G71" s="102">
        <f>+E71*F71*BE!$F$47</f>
        <v>3155.8857492495954</v>
      </c>
      <c r="H71" s="103">
        <f>+E71*F71*PE!$F$5</f>
        <v>1079.3129262433617</v>
      </c>
      <c r="I71" s="102">
        <f>+E71*F71*LE!$F$3</f>
        <v>157.7942874624799</v>
      </c>
      <c r="J71" s="102">
        <f t="shared" si="5"/>
        <v>1918.7785355437538</v>
      </c>
    </row>
    <row r="72" spans="2:10">
      <c r="B72" s="81">
        <f t="shared" si="2"/>
        <v>46436</v>
      </c>
      <c r="C72" s="81">
        <f t="shared" si="1"/>
        <v>46463</v>
      </c>
      <c r="D72" s="121">
        <v>100</v>
      </c>
      <c r="E72" s="104">
        <f t="shared" si="4"/>
        <v>6300</v>
      </c>
      <c r="F72" s="122">
        <v>1</v>
      </c>
      <c r="G72" s="102">
        <f>+E72*F72*BE!$F$47</f>
        <v>3206.7871323020081</v>
      </c>
      <c r="H72" s="103">
        <f>+E72*F72*PE!$F$5</f>
        <v>1096.7211992472869</v>
      </c>
      <c r="I72" s="102">
        <f>+E72*F72*LE!$F$3</f>
        <v>160.33935661510054</v>
      </c>
      <c r="J72" s="102">
        <f t="shared" si="5"/>
        <v>1949.7265764396209</v>
      </c>
    </row>
    <row r="73" spans="2:10">
      <c r="B73" s="81">
        <f t="shared" si="2"/>
        <v>46464</v>
      </c>
      <c r="C73" s="81">
        <f t="shared" si="1"/>
        <v>46494</v>
      </c>
      <c r="D73" s="121">
        <v>100</v>
      </c>
      <c r="E73" s="104">
        <f t="shared" si="4"/>
        <v>6400</v>
      </c>
      <c r="F73" s="122">
        <v>1</v>
      </c>
      <c r="G73" s="102">
        <f>+E73*F73*BE!$F$47</f>
        <v>3257.6885153544213</v>
      </c>
      <c r="H73" s="103">
        <f>+E73*F73*PE!$F$5</f>
        <v>1114.1294722512121</v>
      </c>
      <c r="I73" s="102">
        <f>+E73*F73*LE!$F$3</f>
        <v>162.88442576772121</v>
      </c>
      <c r="J73" s="102">
        <f t="shared" si="5"/>
        <v>1980.6746173354879</v>
      </c>
    </row>
    <row r="74" spans="2:10">
      <c r="B74" s="81">
        <f t="shared" si="2"/>
        <v>46495</v>
      </c>
      <c r="C74" s="81">
        <f t="shared" si="1"/>
        <v>46524</v>
      </c>
      <c r="D74" s="121">
        <v>100</v>
      </c>
      <c r="E74" s="104">
        <f t="shared" si="4"/>
        <v>6500</v>
      </c>
      <c r="F74" s="122">
        <v>1</v>
      </c>
      <c r="G74" s="102">
        <f>+E74*F74*BE!$F$47</f>
        <v>3308.589898406834</v>
      </c>
      <c r="H74" s="103">
        <f>+E74*F74*PE!$F$5</f>
        <v>1131.5377452551375</v>
      </c>
      <c r="I74" s="102">
        <f>+E74*F74*LE!$F$3</f>
        <v>165.42949492034185</v>
      </c>
      <c r="J74" s="102">
        <f t="shared" si="5"/>
        <v>2011.6226582313548</v>
      </c>
    </row>
    <row r="75" spans="2:10">
      <c r="B75" s="81">
        <f t="shared" si="2"/>
        <v>46525</v>
      </c>
      <c r="C75" s="81">
        <f t="shared" ref="C75:C110" si="6">DATE(YEAR(B75),MONTH(B75)+1,DAY(B75)-1)</f>
        <v>46555</v>
      </c>
      <c r="D75" s="121">
        <v>100</v>
      </c>
      <c r="E75" s="104">
        <f t="shared" si="4"/>
        <v>6600</v>
      </c>
      <c r="F75" s="122">
        <v>1</v>
      </c>
      <c r="G75" s="102">
        <f>+E75*F75*BE!$F$47</f>
        <v>3359.4912814592467</v>
      </c>
      <c r="H75" s="103">
        <f>+E75*F75*PE!$F$5</f>
        <v>1148.9460182590626</v>
      </c>
      <c r="I75" s="102">
        <f>+E75*F75*LE!$F$3</f>
        <v>167.97456407296249</v>
      </c>
      <c r="J75" s="102">
        <f t="shared" si="5"/>
        <v>2042.5706991272218</v>
      </c>
    </row>
    <row r="76" spans="2:10">
      <c r="B76" s="81">
        <f t="shared" ref="B76:B111" si="7">+C75+1</f>
        <v>46556</v>
      </c>
      <c r="C76" s="81">
        <f t="shared" si="6"/>
        <v>46585</v>
      </c>
      <c r="D76" s="121">
        <v>100</v>
      </c>
      <c r="E76" s="104">
        <f t="shared" si="4"/>
        <v>6700</v>
      </c>
      <c r="F76" s="122">
        <v>1</v>
      </c>
      <c r="G76" s="102">
        <f>+E76*F76*BE!$F$47</f>
        <v>3410.3926645116594</v>
      </c>
      <c r="H76" s="103">
        <f>+E76*F76*PE!$F$5</f>
        <v>1166.3542912629878</v>
      </c>
      <c r="I76" s="102">
        <f>+E76*F76*LE!$F$3</f>
        <v>170.51963322558314</v>
      </c>
      <c r="J76" s="102">
        <f t="shared" si="5"/>
        <v>2073.5187400230884</v>
      </c>
    </row>
    <row r="77" spans="2:10">
      <c r="B77" s="81">
        <f t="shared" si="7"/>
        <v>46586</v>
      </c>
      <c r="C77" s="81">
        <f t="shared" si="6"/>
        <v>46616</v>
      </c>
      <c r="D77" s="121">
        <v>100</v>
      </c>
      <c r="E77" s="104">
        <f t="shared" si="4"/>
        <v>6800</v>
      </c>
      <c r="F77" s="122">
        <v>1</v>
      </c>
      <c r="G77" s="102">
        <f>+E77*F77*BE!$F$47</f>
        <v>3461.2940475640726</v>
      </c>
      <c r="H77" s="103">
        <f>+E77*F77*PE!$F$5</f>
        <v>1183.7625642669129</v>
      </c>
      <c r="I77" s="102">
        <f>+E77*F77*LE!$F$3</f>
        <v>173.06470237820378</v>
      </c>
      <c r="J77" s="102">
        <f t="shared" si="5"/>
        <v>2104.4667809189559</v>
      </c>
    </row>
    <row r="78" spans="2:10">
      <c r="B78" s="81">
        <f t="shared" si="7"/>
        <v>46617</v>
      </c>
      <c r="C78" s="81">
        <f t="shared" si="6"/>
        <v>46647</v>
      </c>
      <c r="D78" s="121">
        <v>100</v>
      </c>
      <c r="E78" s="104">
        <f t="shared" si="4"/>
        <v>6900</v>
      </c>
      <c r="F78" s="122">
        <v>1</v>
      </c>
      <c r="G78" s="102">
        <f>+E78*F78*BE!$F$47</f>
        <v>3512.1954306164853</v>
      </c>
      <c r="H78" s="103">
        <f>+E78*F78*PE!$F$5</f>
        <v>1201.1708372708381</v>
      </c>
      <c r="I78" s="102">
        <f>+E78*F78*LE!$F$3</f>
        <v>175.60977153082442</v>
      </c>
      <c r="J78" s="102">
        <f t="shared" si="5"/>
        <v>2135.414821814823</v>
      </c>
    </row>
    <row r="79" spans="2:10">
      <c r="B79" s="81">
        <f t="shared" si="7"/>
        <v>46648</v>
      </c>
      <c r="C79" s="81">
        <f t="shared" si="6"/>
        <v>46677</v>
      </c>
      <c r="D79" s="121">
        <v>100</v>
      </c>
      <c r="E79" s="104">
        <f t="shared" si="4"/>
        <v>7000</v>
      </c>
      <c r="F79" s="122">
        <v>1</v>
      </c>
      <c r="G79" s="102">
        <f>+E79*F79*BE!$F$47</f>
        <v>3563.096813668898</v>
      </c>
      <c r="H79" s="103">
        <f>+E79*F79*PE!$F$5</f>
        <v>1218.5791102747633</v>
      </c>
      <c r="I79" s="102">
        <f>+E79*F79*LE!$F$3</f>
        <v>178.15484068344506</v>
      </c>
      <c r="J79" s="102">
        <f t="shared" si="5"/>
        <v>2166.3628627106896</v>
      </c>
    </row>
    <row r="80" spans="2:10">
      <c r="B80" s="81">
        <f t="shared" si="7"/>
        <v>46678</v>
      </c>
      <c r="C80" s="81">
        <f t="shared" si="6"/>
        <v>46708</v>
      </c>
      <c r="D80" s="121">
        <v>100</v>
      </c>
      <c r="E80" s="104">
        <f t="shared" si="4"/>
        <v>7100</v>
      </c>
      <c r="F80" s="122">
        <v>1</v>
      </c>
      <c r="G80" s="102">
        <f>+E80*F80*BE!$F$47</f>
        <v>3613.9981967213107</v>
      </c>
      <c r="H80" s="103">
        <f>+E80*F80*PE!$F$5</f>
        <v>1235.9873832786884</v>
      </c>
      <c r="I80" s="102">
        <f>+E80*F80*LE!$F$3</f>
        <v>180.6999098360657</v>
      </c>
      <c r="J80" s="102">
        <f t="shared" si="5"/>
        <v>2197.3109036065566</v>
      </c>
    </row>
    <row r="81" spans="2:10">
      <c r="B81" s="81">
        <f t="shared" si="7"/>
        <v>46709</v>
      </c>
      <c r="C81" s="81">
        <f t="shared" si="6"/>
        <v>46738</v>
      </c>
      <c r="D81" s="121">
        <v>100</v>
      </c>
      <c r="E81" s="104">
        <f t="shared" si="4"/>
        <v>7200</v>
      </c>
      <c r="F81" s="122">
        <v>1</v>
      </c>
      <c r="G81" s="102">
        <f>+E81*F81*BE!$F$47</f>
        <v>3664.8995797737239</v>
      </c>
      <c r="H81" s="103">
        <f>+E81*F81*PE!$F$5</f>
        <v>1253.3956562826136</v>
      </c>
      <c r="I81" s="102">
        <f>+E81*F81*LE!$F$3</f>
        <v>183.24497898868634</v>
      </c>
      <c r="J81" s="102">
        <f t="shared" si="5"/>
        <v>2228.2589445024237</v>
      </c>
    </row>
    <row r="82" spans="2:10">
      <c r="B82" s="81">
        <f t="shared" si="7"/>
        <v>46739</v>
      </c>
      <c r="C82" s="81">
        <f t="shared" si="6"/>
        <v>46769</v>
      </c>
      <c r="D82" s="121">
        <v>100</v>
      </c>
      <c r="E82" s="104">
        <f t="shared" si="4"/>
        <v>7300</v>
      </c>
      <c r="F82" s="122">
        <v>1</v>
      </c>
      <c r="G82" s="102">
        <f>+E82*F82*BE!$F$47</f>
        <v>3715.8009628261366</v>
      </c>
      <c r="H82" s="103">
        <f>+E82*F82*PE!$F$5</f>
        <v>1270.803929286539</v>
      </c>
      <c r="I82" s="102">
        <f>+E82*F82*LE!$F$3</f>
        <v>185.79004814130698</v>
      </c>
      <c r="J82" s="102">
        <f t="shared" si="5"/>
        <v>2259.2069853982903</v>
      </c>
    </row>
    <row r="83" spans="2:10">
      <c r="B83" s="81">
        <f t="shared" si="7"/>
        <v>46770</v>
      </c>
      <c r="C83" s="81">
        <f t="shared" si="6"/>
        <v>46800</v>
      </c>
      <c r="D83" s="121">
        <v>100</v>
      </c>
      <c r="E83" s="104">
        <f t="shared" si="4"/>
        <v>7400</v>
      </c>
      <c r="F83" s="122">
        <v>1</v>
      </c>
      <c r="G83" s="102">
        <f>+E83*F83*BE!$F$47</f>
        <v>3766.7023458785493</v>
      </c>
      <c r="H83" s="103">
        <f>+E83*F83*PE!$F$5</f>
        <v>1288.2122022904641</v>
      </c>
      <c r="I83" s="102">
        <f>+E83*F83*LE!$F$3</f>
        <v>188.33511729392762</v>
      </c>
      <c r="J83" s="102">
        <f t="shared" si="5"/>
        <v>2290.1550262941573</v>
      </c>
    </row>
    <row r="84" spans="2:10">
      <c r="B84" s="81">
        <f t="shared" si="7"/>
        <v>46801</v>
      </c>
      <c r="C84" s="81">
        <f t="shared" si="6"/>
        <v>46829</v>
      </c>
      <c r="D84" s="121">
        <v>100</v>
      </c>
      <c r="E84" s="104">
        <f t="shared" si="4"/>
        <v>7500</v>
      </c>
      <c r="F84" s="122">
        <v>1</v>
      </c>
      <c r="G84" s="102">
        <f>+E84*F84*BE!$F$47</f>
        <v>3817.603728930962</v>
      </c>
      <c r="H84" s="103">
        <f>+E84*F84*PE!$F$5</f>
        <v>1305.6204752943893</v>
      </c>
      <c r="I84" s="102">
        <f>+E84*F84*LE!$F$3</f>
        <v>190.88018644654827</v>
      </c>
      <c r="J84" s="102">
        <f t="shared" si="5"/>
        <v>2321.1030671900248</v>
      </c>
    </row>
    <row r="85" spans="2:10">
      <c r="B85" s="81">
        <f t="shared" si="7"/>
        <v>46830</v>
      </c>
      <c r="C85" s="81">
        <f t="shared" si="6"/>
        <v>46860</v>
      </c>
      <c r="D85" s="121">
        <v>100</v>
      </c>
      <c r="E85" s="104">
        <f t="shared" si="4"/>
        <v>7600</v>
      </c>
      <c r="F85" s="122">
        <v>1</v>
      </c>
      <c r="G85" s="102">
        <f>+E85*F85*BE!$F$47</f>
        <v>3868.5051119833752</v>
      </c>
      <c r="H85" s="103">
        <f>+E85*F85*PE!$F$5</f>
        <v>1323.0287482983144</v>
      </c>
      <c r="I85" s="102">
        <f>+E85*F85*LE!$F$3</f>
        <v>193.42525559916893</v>
      </c>
      <c r="J85" s="102">
        <f t="shared" si="5"/>
        <v>2352.0511080858919</v>
      </c>
    </row>
    <row r="86" spans="2:10">
      <c r="B86" s="81">
        <f t="shared" si="7"/>
        <v>46861</v>
      </c>
      <c r="C86" s="81">
        <f t="shared" si="6"/>
        <v>46890</v>
      </c>
      <c r="D86" s="121">
        <v>100</v>
      </c>
      <c r="E86" s="104">
        <f t="shared" si="4"/>
        <v>7700</v>
      </c>
      <c r="F86" s="122">
        <v>1</v>
      </c>
      <c r="G86" s="102">
        <f>+E86*F86*BE!$F$47</f>
        <v>3919.4064950357879</v>
      </c>
      <c r="H86" s="103">
        <f>+E86*F86*PE!$F$5</f>
        <v>1340.4370213022396</v>
      </c>
      <c r="I86" s="102">
        <f>+E86*F86*LE!$F$3</f>
        <v>195.97032475178958</v>
      </c>
      <c r="J86" s="102">
        <f t="shared" si="5"/>
        <v>2382.9991489817589</v>
      </c>
    </row>
    <row r="87" spans="2:10">
      <c r="B87" s="81">
        <f t="shared" si="7"/>
        <v>46891</v>
      </c>
      <c r="C87" s="81">
        <f t="shared" si="6"/>
        <v>46921</v>
      </c>
      <c r="D87" s="121">
        <v>100</v>
      </c>
      <c r="E87" s="104">
        <f t="shared" si="4"/>
        <v>7800</v>
      </c>
      <c r="F87" s="122">
        <v>1</v>
      </c>
      <c r="G87" s="102">
        <f>+E87*F87*BE!$F$47</f>
        <v>3970.3078780882006</v>
      </c>
      <c r="H87" s="103">
        <f>+E87*F87*PE!$F$5</f>
        <v>1357.8452943061648</v>
      </c>
      <c r="I87" s="102">
        <f>+E87*F87*LE!$F$3</f>
        <v>198.51539390441022</v>
      </c>
      <c r="J87" s="102">
        <f t="shared" si="5"/>
        <v>2413.9471898776255</v>
      </c>
    </row>
    <row r="88" spans="2:10">
      <c r="B88" s="81">
        <f t="shared" si="7"/>
        <v>46922</v>
      </c>
      <c r="C88" s="81">
        <f t="shared" si="6"/>
        <v>46951</v>
      </c>
      <c r="D88" s="121">
        <v>100</v>
      </c>
      <c r="E88" s="104">
        <f t="shared" si="4"/>
        <v>7900</v>
      </c>
      <c r="F88" s="122">
        <v>1</v>
      </c>
      <c r="G88" s="102">
        <f>+E88*F88*BE!$F$47</f>
        <v>4021.2092611406138</v>
      </c>
      <c r="H88" s="103">
        <f>+E88*F88*PE!$F$5</f>
        <v>1375.2535673100899</v>
      </c>
      <c r="I88" s="102">
        <f>+E88*F88*LE!$F$3</f>
        <v>201.06046305703086</v>
      </c>
      <c r="J88" s="102">
        <f t="shared" si="5"/>
        <v>2444.895230773493</v>
      </c>
    </row>
    <row r="89" spans="2:10">
      <c r="B89" s="81">
        <f t="shared" si="7"/>
        <v>46952</v>
      </c>
      <c r="C89" s="81">
        <f t="shared" si="6"/>
        <v>46982</v>
      </c>
      <c r="D89" s="121">
        <v>100</v>
      </c>
      <c r="E89" s="104">
        <f t="shared" si="4"/>
        <v>8000</v>
      </c>
      <c r="F89" s="122">
        <v>1</v>
      </c>
      <c r="G89" s="102">
        <f>+E89*F89*BE!$F$47</f>
        <v>4072.1106441930265</v>
      </c>
      <c r="H89" s="103">
        <f>+E89*F89*PE!$F$5</f>
        <v>1392.6618403140151</v>
      </c>
      <c r="I89" s="102">
        <f>+E89*F89*LE!$F$3</f>
        <v>203.6055322096515</v>
      </c>
      <c r="J89" s="102">
        <f t="shared" si="5"/>
        <v>2475.8432716693601</v>
      </c>
    </row>
    <row r="90" spans="2:10">
      <c r="B90" s="81">
        <f t="shared" si="7"/>
        <v>46983</v>
      </c>
      <c r="C90" s="81">
        <f t="shared" si="6"/>
        <v>47013</v>
      </c>
      <c r="D90" s="121">
        <v>100</v>
      </c>
      <c r="E90" s="104">
        <f t="shared" si="4"/>
        <v>8100</v>
      </c>
      <c r="F90" s="122">
        <v>1</v>
      </c>
      <c r="G90" s="102">
        <f>+E90*F90*BE!$F$47</f>
        <v>4123.0120272454396</v>
      </c>
      <c r="H90" s="103">
        <f>+E90*F90*PE!$F$5</f>
        <v>1410.0701133179405</v>
      </c>
      <c r="I90" s="102">
        <f>+E90*F90*LE!$F$3</f>
        <v>206.15060136227214</v>
      </c>
      <c r="J90" s="102">
        <f t="shared" si="5"/>
        <v>2506.7913125652271</v>
      </c>
    </row>
    <row r="91" spans="2:10">
      <c r="B91" s="81">
        <f t="shared" si="7"/>
        <v>47014</v>
      </c>
      <c r="C91" s="81">
        <f t="shared" si="6"/>
        <v>47043</v>
      </c>
      <c r="D91" s="121">
        <v>100</v>
      </c>
      <c r="E91" s="104">
        <f t="shared" si="4"/>
        <v>8200</v>
      </c>
      <c r="F91" s="122">
        <v>1</v>
      </c>
      <c r="G91" s="102">
        <f>+E91*F91*BE!$F$47</f>
        <v>4173.9134102978524</v>
      </c>
      <c r="H91" s="103">
        <f>+E91*F91*PE!$F$5</f>
        <v>1427.4783863218656</v>
      </c>
      <c r="I91" s="102">
        <f>+E91*F91*LE!$F$3</f>
        <v>208.69567051489278</v>
      </c>
      <c r="J91" s="102">
        <f t="shared" si="5"/>
        <v>2537.7393534610942</v>
      </c>
    </row>
    <row r="92" spans="2:10">
      <c r="B92" s="81">
        <f t="shared" si="7"/>
        <v>47044</v>
      </c>
      <c r="C92" s="81">
        <f t="shared" si="6"/>
        <v>47074</v>
      </c>
      <c r="D92" s="121">
        <v>100</v>
      </c>
      <c r="E92" s="104">
        <f t="shared" si="4"/>
        <v>8300</v>
      </c>
      <c r="F92" s="122">
        <v>1</v>
      </c>
      <c r="G92" s="102">
        <f>+E92*F92*BE!$F$47</f>
        <v>4224.8147933502651</v>
      </c>
      <c r="H92" s="103">
        <f>+E92*F92*PE!$F$5</f>
        <v>1444.8866593257908</v>
      </c>
      <c r="I92" s="102">
        <f>+E92*F92*LE!$F$3</f>
        <v>211.24073966751342</v>
      </c>
      <c r="J92" s="102">
        <f t="shared" si="5"/>
        <v>2568.6873943569608</v>
      </c>
    </row>
    <row r="93" spans="2:10">
      <c r="B93" s="81">
        <f t="shared" si="7"/>
        <v>47075</v>
      </c>
      <c r="C93" s="81">
        <f t="shared" si="6"/>
        <v>47104</v>
      </c>
      <c r="D93" s="121">
        <v>100</v>
      </c>
      <c r="E93" s="104">
        <f t="shared" si="4"/>
        <v>8400</v>
      </c>
      <c r="F93" s="122">
        <v>1</v>
      </c>
      <c r="G93" s="102">
        <f>+E93*F93*BE!$F$47</f>
        <v>4275.7161764026778</v>
      </c>
      <c r="H93" s="103">
        <f>+E93*F93*PE!$F$5</f>
        <v>1462.2949323297159</v>
      </c>
      <c r="I93" s="102">
        <f>+E93*F93*LE!$F$3</f>
        <v>213.78580882013406</v>
      </c>
      <c r="J93" s="102">
        <f t="shared" si="5"/>
        <v>2599.6354352528274</v>
      </c>
    </row>
    <row r="94" spans="2:10">
      <c r="B94" s="81">
        <f t="shared" si="7"/>
        <v>47105</v>
      </c>
      <c r="C94" s="81">
        <f t="shared" si="6"/>
        <v>47135</v>
      </c>
      <c r="D94" s="121">
        <v>100</v>
      </c>
      <c r="E94" s="104">
        <f t="shared" si="4"/>
        <v>8500</v>
      </c>
      <c r="F94" s="122">
        <v>1</v>
      </c>
      <c r="G94" s="102">
        <f>+E94*F94*BE!$F$47</f>
        <v>4326.6175594550905</v>
      </c>
      <c r="H94" s="103">
        <f>+E94*F94*PE!$F$5</f>
        <v>1479.7032053336411</v>
      </c>
      <c r="I94" s="102">
        <f>+E94*F94*LE!$F$3</f>
        <v>216.33087797275471</v>
      </c>
      <c r="J94" s="102">
        <f t="shared" si="5"/>
        <v>2630.5834761486949</v>
      </c>
    </row>
    <row r="95" spans="2:10">
      <c r="B95" s="81">
        <f t="shared" si="7"/>
        <v>47136</v>
      </c>
      <c r="C95" s="81">
        <f t="shared" si="6"/>
        <v>47166</v>
      </c>
      <c r="D95" s="121">
        <v>100</v>
      </c>
      <c r="E95" s="104">
        <f t="shared" si="4"/>
        <v>8600</v>
      </c>
      <c r="F95" s="122">
        <v>1</v>
      </c>
      <c r="G95" s="102">
        <f>+E95*F95*BE!$F$47</f>
        <v>4377.5189425075032</v>
      </c>
      <c r="H95" s="103">
        <f>+E95*F95*PE!$F$5</f>
        <v>1497.1114783375663</v>
      </c>
      <c r="I95" s="102">
        <f>+E95*F95*LE!$F$3</f>
        <v>218.87594712537535</v>
      </c>
      <c r="J95" s="102">
        <f t="shared" si="5"/>
        <v>2661.531517044562</v>
      </c>
    </row>
    <row r="96" spans="2:10">
      <c r="B96" s="81">
        <f t="shared" si="7"/>
        <v>47167</v>
      </c>
      <c r="C96" s="81">
        <f t="shared" si="6"/>
        <v>47194</v>
      </c>
      <c r="D96" s="121">
        <v>100</v>
      </c>
      <c r="E96" s="104">
        <f t="shared" si="4"/>
        <v>8700</v>
      </c>
      <c r="F96" s="122">
        <v>1</v>
      </c>
      <c r="G96" s="102">
        <f>+E96*F96*BE!$F$47</f>
        <v>4428.4203255599159</v>
      </c>
      <c r="H96" s="103">
        <f>+E96*F96*PE!$F$5</f>
        <v>1514.5197513414914</v>
      </c>
      <c r="I96" s="102">
        <f>+E96*F96*LE!$F$3</f>
        <v>221.42101627799599</v>
      </c>
      <c r="J96" s="102">
        <f t="shared" si="5"/>
        <v>2692.4795579404285</v>
      </c>
    </row>
    <row r="97" spans="2:10">
      <c r="B97" s="81">
        <f t="shared" si="7"/>
        <v>47195</v>
      </c>
      <c r="C97" s="81">
        <f t="shared" si="6"/>
        <v>47225</v>
      </c>
      <c r="D97" s="121">
        <v>100</v>
      </c>
      <c r="E97" s="104">
        <f t="shared" si="4"/>
        <v>8800</v>
      </c>
      <c r="F97" s="122">
        <v>1</v>
      </c>
      <c r="G97" s="102">
        <f>+E97*F97*BE!$F$47</f>
        <v>4479.3217086123286</v>
      </c>
      <c r="H97" s="103">
        <f>+E97*F97*PE!$F$5</f>
        <v>1531.9280243454168</v>
      </c>
      <c r="I97" s="102">
        <f>+E97*F97*LE!$F$3</f>
        <v>223.96608543061666</v>
      </c>
      <c r="J97" s="102">
        <f t="shared" si="5"/>
        <v>2723.4275988362951</v>
      </c>
    </row>
    <row r="98" spans="2:10">
      <c r="B98" s="81">
        <f t="shared" si="7"/>
        <v>47226</v>
      </c>
      <c r="C98" s="81">
        <f t="shared" si="6"/>
        <v>47255</v>
      </c>
      <c r="D98" s="121">
        <v>100</v>
      </c>
      <c r="E98" s="104">
        <f t="shared" si="4"/>
        <v>8900</v>
      </c>
      <c r="F98" s="122">
        <v>1</v>
      </c>
      <c r="G98" s="102">
        <f>+E98*F98*BE!$F$47</f>
        <v>4530.2230916647422</v>
      </c>
      <c r="H98" s="103">
        <f>+E98*F98*PE!$F$5</f>
        <v>1549.336297349342</v>
      </c>
      <c r="I98" s="102">
        <f>+E98*F98*LE!$F$3</f>
        <v>226.5111545832373</v>
      </c>
      <c r="J98" s="102">
        <f t="shared" si="5"/>
        <v>2754.3756397321627</v>
      </c>
    </row>
    <row r="99" spans="2:10">
      <c r="B99" s="81">
        <f t="shared" si="7"/>
        <v>47256</v>
      </c>
      <c r="C99" s="81">
        <f t="shared" si="6"/>
        <v>47286</v>
      </c>
      <c r="D99" s="121">
        <v>100</v>
      </c>
      <c r="E99" s="104">
        <f t="shared" si="4"/>
        <v>9000</v>
      </c>
      <c r="F99" s="122">
        <v>1</v>
      </c>
      <c r="G99" s="102">
        <f>+E99*F99*BE!$F$47</f>
        <v>4581.124474717155</v>
      </c>
      <c r="H99" s="103">
        <f>+E99*F99*PE!$F$5</f>
        <v>1566.7445703532671</v>
      </c>
      <c r="I99" s="102">
        <f>+E99*F99*LE!$F$3</f>
        <v>229.05622373585794</v>
      </c>
      <c r="J99" s="102">
        <f t="shared" si="5"/>
        <v>2785.3236806280297</v>
      </c>
    </row>
    <row r="100" spans="2:10">
      <c r="B100" s="81">
        <f t="shared" si="7"/>
        <v>47287</v>
      </c>
      <c r="C100" s="81">
        <f t="shared" si="6"/>
        <v>47316</v>
      </c>
      <c r="D100" s="121">
        <v>100</v>
      </c>
      <c r="E100" s="104">
        <f t="shared" si="4"/>
        <v>9100</v>
      </c>
      <c r="F100" s="122">
        <v>1</v>
      </c>
      <c r="G100" s="102">
        <f>+E100*F100*BE!$F$47</f>
        <v>4632.0258577695677</v>
      </c>
      <c r="H100" s="103">
        <f>+E100*F100*PE!$F$5</f>
        <v>1584.1528433571923</v>
      </c>
      <c r="I100" s="102">
        <f>+E100*F100*LE!$F$3</f>
        <v>231.60129288847858</v>
      </c>
      <c r="J100" s="102">
        <f t="shared" si="5"/>
        <v>2816.2717215238972</v>
      </c>
    </row>
    <row r="101" spans="2:10">
      <c r="B101" s="81">
        <f t="shared" si="7"/>
        <v>47317</v>
      </c>
      <c r="C101" s="81">
        <f t="shared" si="6"/>
        <v>47347</v>
      </c>
      <c r="D101" s="121">
        <v>100</v>
      </c>
      <c r="E101" s="104">
        <f t="shared" si="4"/>
        <v>9200</v>
      </c>
      <c r="F101" s="122">
        <v>1</v>
      </c>
      <c r="G101" s="102">
        <f>+E101*F101*BE!$F$47</f>
        <v>4682.9272408219804</v>
      </c>
      <c r="H101" s="103">
        <f>+E101*F101*PE!$F$5</f>
        <v>1601.5611163611175</v>
      </c>
      <c r="I101" s="102">
        <f>+E101*F101*LE!$F$3</f>
        <v>234.14636204109922</v>
      </c>
      <c r="J101" s="102">
        <f t="shared" si="5"/>
        <v>2847.2197624197638</v>
      </c>
    </row>
    <row r="102" spans="2:10">
      <c r="B102" s="81">
        <f t="shared" si="7"/>
        <v>47348</v>
      </c>
      <c r="C102" s="81">
        <f t="shared" si="6"/>
        <v>47378</v>
      </c>
      <c r="D102" s="121">
        <v>100</v>
      </c>
      <c r="E102" s="104">
        <f t="shared" si="4"/>
        <v>9300</v>
      </c>
      <c r="F102" s="122">
        <v>1</v>
      </c>
      <c r="G102" s="102">
        <f>+E102*F102*BE!$F$47</f>
        <v>4733.8286238743931</v>
      </c>
      <c r="H102" s="103">
        <f>+E102*F102*PE!$F$5</f>
        <v>1618.9693893650426</v>
      </c>
      <c r="I102" s="102">
        <f>+E102*F102*LE!$F$3</f>
        <v>236.69143119371986</v>
      </c>
      <c r="J102" s="102">
        <f t="shared" si="5"/>
        <v>2878.1678033156304</v>
      </c>
    </row>
    <row r="103" spans="2:10">
      <c r="B103" s="81">
        <f t="shared" si="7"/>
        <v>47379</v>
      </c>
      <c r="C103" s="81">
        <f t="shared" si="6"/>
        <v>47408</v>
      </c>
      <c r="D103" s="121">
        <v>100</v>
      </c>
      <c r="E103" s="104">
        <f t="shared" si="4"/>
        <v>9400</v>
      </c>
      <c r="F103" s="122">
        <v>1</v>
      </c>
      <c r="G103" s="102">
        <f>+E103*F103*BE!$F$47</f>
        <v>4784.7300069268058</v>
      </c>
      <c r="H103" s="103">
        <f>+E103*F103*PE!$F$5</f>
        <v>1636.3776623689678</v>
      </c>
      <c r="I103" s="102">
        <f>+E103*F103*LE!$F$3</f>
        <v>239.23650034634051</v>
      </c>
      <c r="J103" s="102">
        <f t="shared" si="5"/>
        <v>2909.1158442114975</v>
      </c>
    </row>
    <row r="104" spans="2:10">
      <c r="B104" s="81">
        <f t="shared" si="7"/>
        <v>47409</v>
      </c>
      <c r="C104" s="81">
        <f t="shared" si="6"/>
        <v>47439</v>
      </c>
      <c r="D104" s="121">
        <v>100</v>
      </c>
      <c r="E104" s="104">
        <f t="shared" si="4"/>
        <v>9500</v>
      </c>
      <c r="F104" s="122">
        <v>1</v>
      </c>
      <c r="G104" s="102">
        <f>+E104*F104*BE!$F$47</f>
        <v>4835.6313899792185</v>
      </c>
      <c r="H104" s="103">
        <f>+E104*F104*PE!$F$5</f>
        <v>1653.7859353728929</v>
      </c>
      <c r="I104" s="102">
        <f>+E104*F104*LE!$F$3</f>
        <v>241.78156949896115</v>
      </c>
      <c r="J104" s="102">
        <f t="shared" si="5"/>
        <v>2940.0638851073645</v>
      </c>
    </row>
    <row r="105" spans="2:10">
      <c r="B105" s="81">
        <f t="shared" si="7"/>
        <v>47440</v>
      </c>
      <c r="C105" s="81">
        <f t="shared" si="6"/>
        <v>47469</v>
      </c>
      <c r="D105" s="121">
        <v>100</v>
      </c>
      <c r="E105" s="104">
        <f t="shared" si="4"/>
        <v>9600</v>
      </c>
      <c r="F105" s="122">
        <v>1</v>
      </c>
      <c r="G105" s="102">
        <f>+E105*F105*BE!$F$47</f>
        <v>4886.5327730316312</v>
      </c>
      <c r="H105" s="103">
        <f>+E105*F105*PE!$F$5</f>
        <v>1671.1942083768183</v>
      </c>
      <c r="I105" s="102">
        <f>+E105*F105*LE!$F$3</f>
        <v>244.32663865158179</v>
      </c>
      <c r="J105" s="102">
        <f t="shared" si="5"/>
        <v>2971.0119260032316</v>
      </c>
    </row>
    <row r="106" spans="2:10">
      <c r="B106" s="81">
        <f t="shared" si="7"/>
        <v>47470</v>
      </c>
      <c r="C106" s="81">
        <f t="shared" si="6"/>
        <v>47500</v>
      </c>
      <c r="D106" s="121">
        <v>100</v>
      </c>
      <c r="E106" s="104">
        <f t="shared" si="4"/>
        <v>9700</v>
      </c>
      <c r="F106" s="122">
        <v>1</v>
      </c>
      <c r="G106" s="102">
        <f>+E106*F106*BE!$F$47</f>
        <v>4937.4341560840448</v>
      </c>
      <c r="H106" s="103">
        <f>+E106*F106*PE!$F$5</f>
        <v>1688.6024813807435</v>
      </c>
      <c r="I106" s="102">
        <f>+E106*F106*LE!$F$3</f>
        <v>246.87170780420243</v>
      </c>
      <c r="J106" s="102">
        <f t="shared" si="5"/>
        <v>3001.9599668990991</v>
      </c>
    </row>
    <row r="107" spans="2:10">
      <c r="B107" s="81">
        <f t="shared" si="7"/>
        <v>47501</v>
      </c>
      <c r="C107" s="81">
        <f t="shared" si="6"/>
        <v>47531</v>
      </c>
      <c r="D107" s="121">
        <v>100</v>
      </c>
      <c r="E107" s="104">
        <f t="shared" si="4"/>
        <v>9800</v>
      </c>
      <c r="F107" s="122">
        <v>1</v>
      </c>
      <c r="G107" s="102">
        <f>+E107*F107*BE!$F$47</f>
        <v>4988.3355391364576</v>
      </c>
      <c r="H107" s="103">
        <f>+E107*F107*PE!$F$5</f>
        <v>1706.0107543846686</v>
      </c>
      <c r="I107" s="102">
        <f>+E107*F107*LE!$F$3</f>
        <v>249.41677695682307</v>
      </c>
      <c r="J107" s="102">
        <f t="shared" si="5"/>
        <v>3032.9080077949657</v>
      </c>
    </row>
    <row r="108" spans="2:10">
      <c r="B108" s="81">
        <f t="shared" si="7"/>
        <v>47532</v>
      </c>
      <c r="C108" s="81">
        <f t="shared" si="6"/>
        <v>47559</v>
      </c>
      <c r="D108" s="121">
        <v>100</v>
      </c>
      <c r="E108" s="104">
        <f t="shared" si="4"/>
        <v>9900</v>
      </c>
      <c r="F108" s="122">
        <v>1</v>
      </c>
      <c r="G108" s="102">
        <f>+E108*F108*BE!$F$47</f>
        <v>5039.2369221888703</v>
      </c>
      <c r="H108" s="103">
        <f>+E108*F108*PE!$F$5</f>
        <v>1723.4190273885938</v>
      </c>
      <c r="I108" s="102">
        <f>+E108*F108*LE!$F$3</f>
        <v>251.96184610944374</v>
      </c>
      <c r="J108" s="102">
        <f t="shared" si="5"/>
        <v>3063.8560486908327</v>
      </c>
    </row>
    <row r="109" spans="2:10">
      <c r="B109" s="81">
        <f t="shared" si="7"/>
        <v>47560</v>
      </c>
      <c r="C109" s="81">
        <f t="shared" si="6"/>
        <v>47590</v>
      </c>
      <c r="D109" s="121">
        <v>100</v>
      </c>
      <c r="E109" s="104">
        <f t="shared" si="4"/>
        <v>10000</v>
      </c>
      <c r="F109" s="122">
        <v>1</v>
      </c>
      <c r="G109" s="102">
        <f>+E109*F109*BE!$F$47</f>
        <v>5090.138305241283</v>
      </c>
      <c r="H109" s="103">
        <f>+E109*F109*PE!$F$5</f>
        <v>1740.827300392519</v>
      </c>
      <c r="I109" s="102">
        <f>+E109*F109*LE!$F$3</f>
        <v>254.50691526206438</v>
      </c>
      <c r="J109" s="102">
        <f t="shared" si="5"/>
        <v>3094.8040895866998</v>
      </c>
    </row>
    <row r="110" spans="2:10">
      <c r="B110" s="81">
        <f t="shared" si="7"/>
        <v>47591</v>
      </c>
      <c r="C110" s="81">
        <f t="shared" si="6"/>
        <v>47620</v>
      </c>
      <c r="D110" s="121">
        <v>100</v>
      </c>
      <c r="E110" s="104">
        <f t="shared" si="4"/>
        <v>10100</v>
      </c>
      <c r="F110" s="122">
        <v>1</v>
      </c>
      <c r="G110" s="102">
        <f>+E110*F110*BE!$F$47</f>
        <v>5141.0396882936957</v>
      </c>
      <c r="H110" s="103">
        <f>+E110*F110*PE!$F$5</f>
        <v>1758.2355733964441</v>
      </c>
      <c r="I110" s="102">
        <f>+E110*F110*LE!$F$3</f>
        <v>257.05198441468502</v>
      </c>
      <c r="J110" s="102">
        <f t="shared" si="5"/>
        <v>3125.7521304825664</v>
      </c>
    </row>
    <row r="111" spans="2:10">
      <c r="B111" s="81">
        <f t="shared" si="7"/>
        <v>47621</v>
      </c>
    </row>
    <row r="112" spans="2:10">
      <c r="B112" s="105"/>
      <c r="C112" s="106" t="s">
        <v>150</v>
      </c>
      <c r="D112" s="107">
        <f>SUM(D9:D110)</f>
        <v>10200</v>
      </c>
      <c r="E112" s="107"/>
      <c r="F112" s="106"/>
      <c r="G112" s="108"/>
      <c r="H112" s="108"/>
      <c r="I112" s="108"/>
      <c r="J112" s="108"/>
    </row>
  </sheetData>
  <sheetProtection algorithmName="SHA-512" hashValue="3WAkG7T7sUhrM3qWPmJGdJffhTklukNJ+K3QFdFyvmPpiNAxmIpct2QQzRH0UfI0mkoxsLp0wMBi/GyLUGxUNQ==" saltValue="2C/7YRX0kl0QRE50Gw4EPw==" spinCount="100000" sheet="1" objects="1" scenarios="1"/>
  <mergeCells count="1">
    <mergeCell ref="B7:D7"/>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0ff25b3-493e-4851-82b7-4e504def2eba">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B367E7F215A3A48BD10E37FB9526B69" ma:contentTypeVersion="14" ma:contentTypeDescription="Create a new document." ma:contentTypeScope="" ma:versionID="3f227993d80c48f1268552a3cba613a4">
  <xsd:schema xmlns:xsd="http://www.w3.org/2001/XMLSchema" xmlns:xs="http://www.w3.org/2001/XMLSchema" xmlns:p="http://schemas.microsoft.com/office/2006/metadata/properties" xmlns:ns2="40ff25b3-493e-4851-82b7-4e504def2eba" xmlns:ns3="87d2df8b-a2fd-4f62-8ef6-4a22c6824c33" xmlns:ns4="94d6f73f-29f7-4e77-9e68-180d20b81668" targetNamespace="http://schemas.microsoft.com/office/2006/metadata/properties" ma:root="true" ma:fieldsID="1c39667e8e36b6731b89c877a08bc9c0" ns2:_="" ns3:_="" ns4:_="">
    <xsd:import namespace="40ff25b3-493e-4851-82b7-4e504def2eba"/>
    <xsd:import namespace="87d2df8b-a2fd-4f62-8ef6-4a22c6824c33"/>
    <xsd:import namespace="94d6f73f-29f7-4e77-9e68-180d20b81668"/>
    <xsd:element name="properties">
      <xsd:complexType>
        <xsd:sequence>
          <xsd:element name="documentManagement">
            <xsd:complexType>
              <xsd:all>
                <xsd:element ref="ns2:SharedWithUsers" minOccurs="0"/>
                <xsd:element ref="ns2:SharedWithDetails" minOccurs="0"/>
                <xsd:element ref="ns3:LastSharedByUser" minOccurs="0"/>
                <xsd:element ref="ns3:LastSharedByTime"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ff25b3-493e-4851-82b7-4e504def2eb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d2df8b-a2fd-4f62-8ef6-4a22c6824c33" elementFormDefault="qualified">
    <xsd:import namespace="http://schemas.microsoft.com/office/2006/documentManagement/types"/>
    <xsd:import namespace="http://schemas.microsoft.com/office/infopath/2007/PartnerControls"/>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4d6f73f-29f7-4e77-9e68-180d20b81668"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DateTaken" ma:index="2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0A704C9-4C5C-48DA-B85A-17C74972DAC8}">
  <ds:schemaRefs>
    <ds:schemaRef ds:uri="40ff25b3-493e-4851-82b7-4e504def2eba"/>
    <ds:schemaRef ds:uri="http://www.w3.org/XML/1998/namespace"/>
    <ds:schemaRef ds:uri="http://schemas.microsoft.com/office/2006/documentManagement/types"/>
    <ds:schemaRef ds:uri="030caf0d-19d7-4c1c-8941-0d7d4058697a"/>
    <ds:schemaRef ds:uri="http://purl.org/dc/terms/"/>
    <ds:schemaRef ds:uri="http://purl.org/dc/dcmitype/"/>
    <ds:schemaRef ds:uri="http://schemas.microsoft.com/office/infopath/2007/PartnerControls"/>
    <ds:schemaRef ds:uri="http://schemas.microsoft.com/office/2006/metadata/properties"/>
    <ds:schemaRef ds:uri="http://purl.org/dc/elements/1.1/"/>
    <ds:schemaRef ds:uri="http://schemas.openxmlformats.org/package/2006/metadata/core-properties"/>
  </ds:schemaRefs>
</ds:datastoreItem>
</file>

<file path=customXml/itemProps2.xml><?xml version="1.0" encoding="utf-8"?>
<ds:datastoreItem xmlns:ds="http://schemas.openxmlformats.org/officeDocument/2006/customXml" ds:itemID="{9F4D77CE-820D-446C-A1CD-17E16CC84AC2}">
  <ds:schemaRefs>
    <ds:schemaRef ds:uri="http://schemas.microsoft.com/sharepoint/v3/contenttype/forms"/>
  </ds:schemaRefs>
</ds:datastoreItem>
</file>

<file path=customXml/itemProps3.xml><?xml version="1.0" encoding="utf-8"?>
<ds:datastoreItem xmlns:ds="http://schemas.openxmlformats.org/officeDocument/2006/customXml" ds:itemID="{6ED7A8C2-810E-4B07-B0AC-91875E34E30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Cover</vt:lpstr>
      <vt:lpstr>BE</vt:lpstr>
      <vt:lpstr>PE</vt:lpstr>
      <vt:lpstr>LE</vt:lpstr>
      <vt:lpstr>ER</vt:lpstr>
      <vt:lpstr>ER!_Ref61531034</vt:lpstr>
    </vt:vector>
  </TitlesOfParts>
  <Manager/>
  <Company>GS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Hoang, Ha</dc:creator>
  <cp:keywords/>
  <dc:description/>
  <cp:lastModifiedBy>Ha Hoang</cp:lastModifiedBy>
  <cp:revision/>
  <dcterms:created xsi:type="dcterms:W3CDTF">2021-07-16T04:44:19Z</dcterms:created>
  <dcterms:modified xsi:type="dcterms:W3CDTF">2022-04-26T11:28:24Z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0x0101000B367E7F215A3A48BD10E37FB9526B69</vt:lpwstr>
  </property>
  <property fmtid="{D5CDD505-2E9C-101B-9397-08002B2CF9AE}" pid="3" name="_dlc_DocIdItemGuid">
    <vt:lpwstr>fe1866af-43c0-44e0-8141-08efbb5411e6</vt:lpwstr>
  </property>
  <property fmtid="{D5CDD505-2E9C-101B-9397-08002B2CF9AE}" pid="4" name="Order">
    <vt:r8>57800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ies>
</file>